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5480" windowHeight="10920" tabRatio="395" activeTab="0"/>
  </bookViews>
  <sheets>
    <sheet name="для публикации 2014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'для публикации 2014'!$A$6:$BU$991</definedName>
    <definedName name="Form">'[3]Списки'!$A$1:$A$5</definedName>
    <definedName name="_xlnm.Print_Titles" localSheetId="0">'для публикации 2014'!$A:$B,'для публикации 2014'!$3:$5</definedName>
    <definedName name="о">'[2]Лист2'!$A$1:$A$7</definedName>
    <definedName name="_xlnm.Print_Area" localSheetId="0">'для публикации 2014'!$A$1:$BU$992</definedName>
    <definedName name="оп">'[2]Лист2'!$A$1:$A$7</definedName>
    <definedName name="ОПФ">'[1]Лист2'!$A$1:$A$6</definedName>
    <definedName name="опфв">'[2]Лист2'!$A$1:$A$7</definedName>
  </definedNames>
  <calcPr fullCalcOnLoad="1"/>
</workbook>
</file>

<file path=xl/comments1.xml><?xml version="1.0" encoding="utf-8"?>
<comments xmlns="http://schemas.openxmlformats.org/spreadsheetml/2006/main">
  <authors>
    <author>maklakova</author>
    <author>~</author>
    <author>losevskaya</author>
    <author>kamaletdinov</author>
  </authors>
  <commentList>
    <comment ref="P65" authorId="0">
      <text>
        <r>
          <rPr>
            <b/>
            <sz val="9"/>
            <rFont val="Tahoma"/>
            <family val="2"/>
          </rPr>
          <t>maklakova:</t>
        </r>
        <r>
          <rPr>
            <sz val="9"/>
            <rFont val="Tahoma"/>
            <family val="2"/>
          </rPr>
          <t xml:space="preserve">
38,84889 до 2 лет</t>
        </r>
      </text>
    </comment>
    <comment ref="BC97" authorId="1">
      <text>
        <r>
          <rPr>
            <b/>
            <sz val="8"/>
            <rFont val="Tahoma"/>
            <family val="2"/>
          </rPr>
          <t>возврат 9 468,12</t>
        </r>
        <r>
          <rPr>
            <sz val="8"/>
            <rFont val="Tahoma"/>
            <family val="2"/>
          </rPr>
          <t xml:space="preserve">
</t>
        </r>
      </text>
    </comment>
    <comment ref="B189" authorId="2">
      <text>
        <r>
          <rPr>
            <b/>
            <sz val="9"/>
            <rFont val="Tahoma"/>
            <family val="2"/>
          </rPr>
          <t>losevskaya:</t>
        </r>
        <r>
          <rPr>
            <sz val="9"/>
            <rFont val="Tahoma"/>
            <family val="2"/>
          </rPr>
          <t xml:space="preserve">
был в Березовском</t>
        </r>
      </text>
    </comment>
    <comment ref="BC296" authorId="1">
      <text>
        <r>
          <rPr>
            <b/>
            <sz val="8"/>
            <rFont val="Tahoma"/>
            <family val="2"/>
          </rPr>
          <t>возврат1,31894</t>
        </r>
        <r>
          <rPr>
            <sz val="8"/>
            <rFont val="Tahoma"/>
            <family val="2"/>
          </rPr>
          <t xml:space="preserve">
</t>
        </r>
      </text>
    </comment>
    <comment ref="BD296" authorId="1">
      <text>
        <r>
          <rPr>
            <sz val="10"/>
            <rFont val="Tahoma"/>
            <family val="2"/>
          </rPr>
          <t>возврат 1,32529</t>
        </r>
        <r>
          <rPr>
            <sz val="8"/>
            <rFont val="Tahoma"/>
            <family val="2"/>
          </rPr>
          <t xml:space="preserve">
</t>
        </r>
      </text>
    </comment>
    <comment ref="BC371" authorId="1">
      <text>
        <r>
          <rPr>
            <b/>
            <sz val="8"/>
            <rFont val="Tahoma"/>
            <family val="2"/>
          </rPr>
          <t>возврат 12,491</t>
        </r>
      </text>
    </comment>
    <comment ref="BD371" authorId="1">
      <text>
        <r>
          <rPr>
            <b/>
            <sz val="8"/>
            <rFont val="Tahoma"/>
            <family val="2"/>
          </rPr>
          <t>возврат 12,498</t>
        </r>
      </text>
    </comment>
    <comment ref="B519" authorId="1">
      <text>
        <r>
          <rPr>
            <b/>
            <sz val="12"/>
            <rFont val="Tahoma"/>
            <family val="2"/>
          </rPr>
          <t>~:</t>
        </r>
        <r>
          <rPr>
            <sz val="12"/>
            <rFont val="Tahoma"/>
            <family val="2"/>
          </rPr>
          <t xml:space="preserve">
ПРАВОПРИЕМНИК спк дОН</t>
        </r>
      </text>
    </comment>
    <comment ref="BC600" authorId="1">
      <text>
        <r>
          <rPr>
            <b/>
            <sz val="8"/>
            <rFont val="Tahoma"/>
            <family val="2"/>
          </rPr>
          <t>возврат 32,62076</t>
        </r>
        <r>
          <rPr>
            <sz val="8"/>
            <rFont val="Tahoma"/>
            <family val="2"/>
          </rPr>
          <t xml:space="preserve">
</t>
        </r>
      </text>
    </comment>
    <comment ref="BD600" authorId="1">
      <text>
        <r>
          <rPr>
            <b/>
            <sz val="8"/>
            <rFont val="Tahoma"/>
            <family val="2"/>
          </rPr>
          <t>возврат 33,95498</t>
        </r>
      </text>
    </comment>
    <comment ref="BC758" authorId="1">
      <text>
        <r>
          <rPr>
            <b/>
            <sz val="8"/>
            <rFont val="Tahoma"/>
            <family val="2"/>
          </rPr>
          <t>возврат 9,15549</t>
        </r>
        <r>
          <rPr>
            <sz val="8"/>
            <rFont val="Tahoma"/>
            <family val="2"/>
          </rPr>
          <t xml:space="preserve">
</t>
        </r>
      </text>
    </comment>
    <comment ref="BC813" authorId="1">
      <text>
        <r>
          <rPr>
            <b/>
            <sz val="8"/>
            <rFont val="Tahoma"/>
            <family val="2"/>
          </rPr>
          <t>возврат 7,74442</t>
        </r>
        <r>
          <rPr>
            <sz val="8"/>
            <rFont val="Tahoma"/>
            <family val="2"/>
          </rPr>
          <t xml:space="preserve">
</t>
        </r>
      </text>
    </comment>
    <comment ref="BD813" authorId="1">
      <text>
        <r>
          <rPr>
            <b/>
            <sz val="8"/>
            <rFont val="Tahoma"/>
            <family val="2"/>
          </rPr>
          <t>возврат 7,74876</t>
        </r>
        <r>
          <rPr>
            <sz val="8"/>
            <rFont val="Tahoma"/>
            <family val="2"/>
          </rPr>
          <t xml:space="preserve">
</t>
        </r>
      </text>
    </comment>
    <comment ref="BC919" authorId="1">
      <text>
        <r>
          <rPr>
            <b/>
            <sz val="8"/>
            <rFont val="Tahoma"/>
            <family val="2"/>
          </rPr>
          <t>возврат 8,87686</t>
        </r>
      </text>
    </comment>
    <comment ref="BD919" authorId="3">
      <text>
        <r>
          <rPr>
            <b/>
            <sz val="9"/>
            <rFont val="Tahoma"/>
            <family val="2"/>
          </rPr>
          <t>kamaletdinov:</t>
        </r>
        <r>
          <rPr>
            <sz val="9"/>
            <rFont val="Tahoma"/>
            <family val="2"/>
          </rPr>
          <t xml:space="preserve">
возврат 4,63742
</t>
        </r>
      </text>
    </comment>
  </commentList>
</comments>
</file>

<file path=xl/sharedStrings.xml><?xml version="1.0" encoding="utf-8"?>
<sst xmlns="http://schemas.openxmlformats.org/spreadsheetml/2006/main" count="4826" uniqueCount="2843">
  <si>
    <t>242900341505</t>
  </si>
  <si>
    <t xml:space="preserve">СПК "Нива"    </t>
  </si>
  <si>
    <t>2401005384</t>
  </si>
  <si>
    <t>ООО "Сухогор"</t>
  </si>
  <si>
    <t>ООО "Знаменское "</t>
  </si>
  <si>
    <t>ЗАО "Тагарское "</t>
  </si>
  <si>
    <t>2444303547</t>
  </si>
  <si>
    <t>ИП глава КФХ Лейднер Андрей Карлович</t>
  </si>
  <si>
    <t>КГБОУ НПО ПТУ 92</t>
  </si>
  <si>
    <t>ИП глава КФХ Мирошниченко Михаил Сергеевич</t>
  </si>
  <si>
    <t>241601958707</t>
  </si>
  <si>
    <t>2459015083</t>
  </si>
  <si>
    <t xml:space="preserve">КФХ "Русь" </t>
  </si>
  <si>
    <t>2439001170</t>
  </si>
  <si>
    <t>Казачинский Итог</t>
  </si>
  <si>
    <t>Саянский</t>
  </si>
  <si>
    <t>2440007071</t>
  </si>
  <si>
    <t>СХООО "Семена"</t>
  </si>
  <si>
    <t>2423006984</t>
  </si>
  <si>
    <t>Общий итог</t>
  </si>
  <si>
    <t>СКПК "Гермес"</t>
  </si>
  <si>
    <t>ООО "Самойловское"</t>
  </si>
  <si>
    <t>2401002506</t>
  </si>
  <si>
    <t>ООО "Усольское"</t>
  </si>
  <si>
    <t>2401004260</t>
  </si>
  <si>
    <t>2455029198</t>
  </si>
  <si>
    <t>ИП глава КФХ Савин Александр Владимирович</t>
  </si>
  <si>
    <t>СКПК "Ресурс"</t>
  </si>
  <si>
    <t>2404008344</t>
  </si>
  <si>
    <t>ИП Калиниченко В.В.</t>
  </si>
  <si>
    <t xml:space="preserve">ЗАО "Авангард" </t>
  </si>
  <si>
    <t>ЗАО "Алтатское"</t>
  </si>
  <si>
    <t xml:space="preserve">СПК колхоз "Труженик"  </t>
  </si>
  <si>
    <t>СПК "Земля"</t>
  </si>
  <si>
    <t>2401003250</t>
  </si>
  <si>
    <t>ИП глава КФХ Зубарев Виктор Васильевич</t>
  </si>
  <si>
    <t>ИП глава КФХ Игнатенко Николай Федорович</t>
  </si>
  <si>
    <t>ИП глава КФХ Илюшенко Галина Яковлевна</t>
  </si>
  <si>
    <t>ИП глава КФХ Кайдалин Евгений Васильевич</t>
  </si>
  <si>
    <t>ИП глава КФХ Козелепов Анатолий Дмитриевич</t>
  </si>
  <si>
    <t>ИП глава КФХ Корнаков Иван Геннадьевич</t>
  </si>
  <si>
    <t>ИП глава КФХ Кохан Николай Михайлович</t>
  </si>
  <si>
    <t>ИП глава КФХ Любавин Валерий Геннадьевич</t>
  </si>
  <si>
    <t>ИП глава КФХ Майер Александр Эйвальдович</t>
  </si>
  <si>
    <t>2401003690</t>
  </si>
  <si>
    <t>2403007203</t>
  </si>
  <si>
    <t>Балахтинский Итог</t>
  </si>
  <si>
    <t>Березовский</t>
  </si>
  <si>
    <t>240400165689</t>
  </si>
  <si>
    <t>242900247164</t>
  </si>
  <si>
    <t>242900264882</t>
  </si>
  <si>
    <t>Манский Итог</t>
  </si>
  <si>
    <t>СПК "Сибирь"</t>
  </si>
  <si>
    <t>2447005228</t>
  </si>
  <si>
    <t>242900646200</t>
  </si>
  <si>
    <t>242900008039</t>
  </si>
  <si>
    <t>242900698128</t>
  </si>
  <si>
    <t>ООО АПК Колос</t>
  </si>
  <si>
    <t>2429002464</t>
  </si>
  <si>
    <t>Новоселовский Итог</t>
  </si>
  <si>
    <t>Партизанский</t>
  </si>
  <si>
    <t>243000057229</t>
  </si>
  <si>
    <t>ООО "Красный Яр"</t>
  </si>
  <si>
    <t>ИП глава КФХ Курносов Сергей Анатольевич</t>
  </si>
  <si>
    <t>Боготольский Итог</t>
  </si>
  <si>
    <t>Большеулуйский</t>
  </si>
  <si>
    <t xml:space="preserve">СПК им.Калинина </t>
  </si>
  <si>
    <t>КФХ "Шпаковский К"</t>
  </si>
  <si>
    <t>2418000955</t>
  </si>
  <si>
    <t>ООО "АПК "Устьянский"</t>
  </si>
  <si>
    <t>246508552042</t>
  </si>
  <si>
    <t>244802143844</t>
  </si>
  <si>
    <t>Туруханский  Итог</t>
  </si>
  <si>
    <t>Тюхтетский</t>
  </si>
  <si>
    <t xml:space="preserve">ООО "Фортуна  АГРО"  </t>
  </si>
  <si>
    <t>2459011547</t>
  </si>
  <si>
    <t>КХ "Стимул"</t>
  </si>
  <si>
    <t>2442001798</t>
  </si>
  <si>
    <t>242200305935</t>
  </si>
  <si>
    <t>1902002544</t>
  </si>
  <si>
    <t>2443034098</t>
  </si>
  <si>
    <t>244401211409</t>
  </si>
  <si>
    <t>ООО "Житница"</t>
  </si>
  <si>
    <t>2444302631</t>
  </si>
  <si>
    <t>2419004889</t>
  </si>
  <si>
    <t>243800284728</t>
  </si>
  <si>
    <t>243800010477</t>
  </si>
  <si>
    <t>ИП глава кфх Косовицкий Петр Павлович</t>
  </si>
  <si>
    <t>ИП глава кфх Кокарев Александр Анатольевич</t>
  </si>
  <si>
    <t>ИП глава кфх Киселев Михаил Александрович</t>
  </si>
  <si>
    <t>ИП глава кфх Курбанов Олег Витальевич</t>
  </si>
  <si>
    <t>ИП Степаненко Валерий Алексеевич</t>
  </si>
  <si>
    <t>ООО СП "Рассвет"</t>
  </si>
  <si>
    <t>ИП глава КФХ Соколов Петр Константинович</t>
  </si>
  <si>
    <t>ИП Глава кфх Иванов Александр Николаевич</t>
  </si>
  <si>
    <t>ИП глава КФХ Хиляс Александр Александрович</t>
  </si>
  <si>
    <t>ООО "Рост"</t>
  </si>
  <si>
    <t>ИП Иванов Альберт Валерианович</t>
  </si>
  <si>
    <t>ИП Степанченок Николай Тимофеевич</t>
  </si>
  <si>
    <t>ООО СПП "Первомайское"</t>
  </si>
  <si>
    <t>КФХ Боровлева Сергея Алексеевича</t>
  </si>
  <si>
    <t>ИП Боровлев Андрей Алексеевич</t>
  </si>
  <si>
    <t>КФХ Старцева Олега Владимировича</t>
  </si>
  <si>
    <t>КХ Кочнева Александра Лавретьевича</t>
  </si>
  <si>
    <t>ИП глава КФХ Молотков Андрей Николаевич</t>
  </si>
  <si>
    <t>ИП глава КФХ Молотков Владимир Николаевич</t>
  </si>
  <si>
    <t>ИП глава КФХ Алексеев Михаил Васильевич</t>
  </si>
  <si>
    <t>КФХ Блохина Владимира Васильевича</t>
  </si>
  <si>
    <t>ООО "Искра"</t>
  </si>
  <si>
    <t>2424005609</t>
  </si>
  <si>
    <t xml:space="preserve">ООО "Рассвет"  </t>
  </si>
  <si>
    <t>2424005310</t>
  </si>
  <si>
    <t>240403503865</t>
  </si>
  <si>
    <t>2404005495</t>
  </si>
  <si>
    <t xml:space="preserve">КФХ "Восход" </t>
  </si>
  <si>
    <t>2401003281</t>
  </si>
  <si>
    <t>2401000883</t>
  </si>
  <si>
    <t>КФХ "Калачик"</t>
  </si>
  <si>
    <t>2401002922</t>
  </si>
  <si>
    <t>ИП Хромов К.Ю.</t>
  </si>
  <si>
    <t xml:space="preserve">ООО "Анциферовское" </t>
  </si>
  <si>
    <t>2447004961</t>
  </si>
  <si>
    <t>ЗАО "Назаровское"</t>
  </si>
  <si>
    <t>ЗАО "Подсосенское"</t>
  </si>
  <si>
    <t xml:space="preserve">ЗАО "Крутоярское" </t>
  </si>
  <si>
    <t xml:space="preserve">ООО "Танай" </t>
  </si>
  <si>
    <t>ИП Красаков Владислав Иванович</t>
  </si>
  <si>
    <t>ИП Глава КФХ Югай Яков Петрович</t>
  </si>
  <si>
    <t>ИП Глава КФХ Чеботников Антон Александрович</t>
  </si>
  <si>
    <t>ИП глава КФХ Владыкин Андрей Сергеевич</t>
  </si>
  <si>
    <t>ИП глава КФХ Дмитриев Александр Николаевич</t>
  </si>
  <si>
    <t>2460232646</t>
  </si>
  <si>
    <t>243001022500</t>
  </si>
  <si>
    <t>243000082803</t>
  </si>
  <si>
    <t>243000806492</t>
  </si>
  <si>
    <t>2465260340</t>
  </si>
  <si>
    <t>243000012387</t>
  </si>
  <si>
    <t>СПК "Андроновский"</t>
  </si>
  <si>
    <t>240500181300</t>
  </si>
  <si>
    <t>2409701030</t>
  </si>
  <si>
    <t>ООО "Кангул"</t>
  </si>
  <si>
    <t>2416004224</t>
  </si>
  <si>
    <t>ООО "Чистые пруды"</t>
  </si>
  <si>
    <t>2410001467</t>
  </si>
  <si>
    <t xml:space="preserve">СПК "Денисовский"  </t>
  </si>
  <si>
    <t>2410000329</t>
  </si>
  <si>
    <t xml:space="preserve">СПК "Колос" </t>
  </si>
  <si>
    <t>2410000921</t>
  </si>
  <si>
    <t>СПК "Манганово"</t>
  </si>
  <si>
    <t>Идринский Итог</t>
  </si>
  <si>
    <t>Иланский</t>
  </si>
  <si>
    <t>ООО "Потапово"</t>
  </si>
  <si>
    <t>КХ "Похильченко"</t>
  </si>
  <si>
    <t>2455021760</t>
  </si>
  <si>
    <t>ООО "Агат-1"</t>
  </si>
  <si>
    <t>2459014442</t>
  </si>
  <si>
    <t>2459012886</t>
  </si>
  <si>
    <t>242500030294</t>
  </si>
  <si>
    <t>245508785292</t>
  </si>
  <si>
    <t>245500766450</t>
  </si>
  <si>
    <t>245509168302</t>
  </si>
  <si>
    <t>245503649320</t>
  </si>
  <si>
    <t>2455028645</t>
  </si>
  <si>
    <t>2425000674</t>
  </si>
  <si>
    <t>242500007400</t>
  </si>
  <si>
    <t>245509199903</t>
  </si>
  <si>
    <t>2456014317</t>
  </si>
  <si>
    <t>СПК "Родина"</t>
  </si>
  <si>
    <t>ИП глава К(Ф)Х Черемных Александр Карпович</t>
  </si>
  <si>
    <t>ИП глава КФХ Наконечный Сергей Владимирович</t>
  </si>
  <si>
    <t>ООО "Шарыповский АПК"</t>
  </si>
  <si>
    <t>ИП Рапана Константин Иванович</t>
  </si>
  <si>
    <t>ИП Руднев Анатолий Степанович</t>
  </si>
  <si>
    <t>ИП глава К(Ф)Х Горбачев Сергей Юрьевич</t>
  </si>
  <si>
    <t>ИП Гасанов Интигам Адиль Оглы</t>
  </si>
  <si>
    <t>ИП Ефремов Николай Николаевич</t>
  </si>
  <si>
    <t>ИП глава КФХ Балезин Валерий Александрович</t>
  </si>
  <si>
    <t>2415001380</t>
  </si>
  <si>
    <t>2415001319</t>
  </si>
  <si>
    <t>2415005874</t>
  </si>
  <si>
    <t>243800019399</t>
  </si>
  <si>
    <t>243800169429</t>
  </si>
  <si>
    <t>243800016711</t>
  </si>
  <si>
    <t>243800015370</t>
  </si>
  <si>
    <t>243600051243</t>
  </si>
  <si>
    <t>2464064696</t>
  </si>
  <si>
    <t>2411020663</t>
  </si>
  <si>
    <t>2411019682</t>
  </si>
  <si>
    <t>2433002185</t>
  </si>
  <si>
    <t>242900855719</t>
  </si>
  <si>
    <t>ИП глава КФХ Дзязько Николай Равильевич</t>
  </si>
  <si>
    <t>ИП глава КФХ Немков Антон Александрович</t>
  </si>
  <si>
    <t>ИП глава К(Ф)Х Сазонкина Екатерина Юрьевна</t>
  </si>
  <si>
    <t>ИП Адейкин Николай Николаевич</t>
  </si>
  <si>
    <t>ИП глава КФХ Аникин Владимир Деонисович</t>
  </si>
  <si>
    <t>ИП глава КФХ Видергольд Юрий Эдуардович</t>
  </si>
  <si>
    <t>ИП глава КФХ Гельвер Александр Оскарович</t>
  </si>
  <si>
    <t>ИП глава КФХ Живанов Геннадий Васильевич</t>
  </si>
  <si>
    <t>ИП Земба Александр Данилович</t>
  </si>
  <si>
    <t>ИП глава КФХ Клитченко Виктор Иванович</t>
  </si>
  <si>
    <t>ИП глава КФХ Косицкий Валерий Анатольевич</t>
  </si>
  <si>
    <t>ИП Миних Виктор Артурович</t>
  </si>
  <si>
    <t>ИП глава КФХ Прокопенко Виктор Борисович</t>
  </si>
  <si>
    <t>ИП глава КФХ Ремизов Петр Васильевич</t>
  </si>
  <si>
    <t>ИП глава КФХ Соколов Александр Павлович</t>
  </si>
  <si>
    <t>ИП глава КФХ Соколов Сергей Владимирович</t>
  </si>
  <si>
    <t>ИП глава КФХ Школин Константин Анатольевич</t>
  </si>
  <si>
    <t>ООО "Ботаника"</t>
  </si>
  <si>
    <t>ИП глава К(Ф)Х Стариченко Людмила Ивановна</t>
  </si>
  <si>
    <t>ИП глава К(Ф)Х Заводян Александр Михайлович</t>
  </si>
  <si>
    <t>ИП Сабиров Загртин Батталович</t>
  </si>
  <si>
    <t>ИП глава КФХ Глушаков Анатолий Васильевич</t>
  </si>
  <si>
    <t>ИП глава КФХ Горн Виктор Иванович</t>
  </si>
  <si>
    <t>ИП глава КФХ Демидов Сергей Петрович</t>
  </si>
  <si>
    <t>ИП глава КФХ Евдокимов Николай Николаевич</t>
  </si>
  <si>
    <t>ИП глава КФХ Зайберт Александр Карлович</t>
  </si>
  <si>
    <t>ИП глава КФХ Ряжкин Игорь Михайлович</t>
  </si>
  <si>
    <t>ООО "Дон"</t>
  </si>
  <si>
    <t xml:space="preserve">ФКУ Объединение ИК № 38 ГУФСИН по Кр.Краю  </t>
  </si>
  <si>
    <t>ФКУ "Колония-поселения № 48 ГУ ФС ИН по Кр.Краю</t>
  </si>
  <si>
    <t>ООО "Мана"</t>
  </si>
  <si>
    <t>2401005218</t>
  </si>
  <si>
    <t>ООО "Матвеевка"</t>
  </si>
  <si>
    <t xml:space="preserve">КФХ "Солонцы" </t>
  </si>
  <si>
    <t>ООО "Иджюль"</t>
  </si>
  <si>
    <t>ИП глава КФХ Отап Владимир Валерьевич</t>
  </si>
  <si>
    <t xml:space="preserve">ИП глава КФХ Генза Алексей Олегович  </t>
  </si>
  <si>
    <t xml:space="preserve">ИП глава КФХ Генза Александр Олегович                                </t>
  </si>
  <si>
    <t xml:space="preserve">ООО "Листвянка"      </t>
  </si>
  <si>
    <t>2422391959</t>
  </si>
  <si>
    <t>2436002257</t>
  </si>
  <si>
    <t>ОАО "Новотаежное"</t>
  </si>
  <si>
    <t>ИП глава КФХ Казаков Николай Васильевич</t>
  </si>
  <si>
    <t xml:space="preserve">ИП глава КФХ Кривохижа Валерий Николаевич </t>
  </si>
  <si>
    <t>СПК "Бас"</t>
  </si>
  <si>
    <t>ООО "Маяк"</t>
  </si>
  <si>
    <t>ИП Меликбекян Артак Сергоевич</t>
  </si>
  <si>
    <t>2433003615</t>
  </si>
  <si>
    <t>2433002890</t>
  </si>
  <si>
    <t>2433003809</t>
  </si>
  <si>
    <t>240100017190</t>
  </si>
  <si>
    <t>2412000910</t>
  </si>
  <si>
    <t>Енисейский Итог</t>
  </si>
  <si>
    <t>СПСК "Тальский"</t>
  </si>
  <si>
    <t>СППК"Быстрянский"</t>
  </si>
  <si>
    <t>СПКК "Агросервис"</t>
  </si>
  <si>
    <t>ИП Маслобоев Николай Анатольевич</t>
  </si>
  <si>
    <t>2441001241</t>
  </si>
  <si>
    <t>245900324368</t>
  </si>
  <si>
    <t>2414004028</t>
  </si>
  <si>
    <t>246200556661</t>
  </si>
  <si>
    <t>2422000852</t>
  </si>
  <si>
    <t>2428004765</t>
  </si>
  <si>
    <t>СССПК "Ивановский"</t>
  </si>
  <si>
    <t>2428004490</t>
  </si>
  <si>
    <t>Н-Ингашский Итог</t>
  </si>
  <si>
    <t>ПССПК "Лебяженский"</t>
  </si>
  <si>
    <t xml:space="preserve">ФХ "Шанс" </t>
  </si>
  <si>
    <t>2422392007</t>
  </si>
  <si>
    <t>ЗАО "Тубинск"</t>
  </si>
  <si>
    <t>2422392039</t>
  </si>
  <si>
    <t>ООО "Огороды"</t>
  </si>
  <si>
    <t>ИП глава К(Ф)Х Нечистовский Иван Григорьевич</t>
  </si>
  <si>
    <t>ИП глава К(Ф)Х Шилов Геннадий Михайлович</t>
  </si>
  <si>
    <t>ИП глава К(Ф)Х Макарчук Сергей Адамович</t>
  </si>
  <si>
    <t>242900697886</t>
  </si>
  <si>
    <t>242900333261</t>
  </si>
  <si>
    <t>ЗАО "Искра Ленина "</t>
  </si>
  <si>
    <t>ИП глава КФХ Чепурной Виктор Викторович</t>
  </si>
  <si>
    <t>ИП глава КФХ Швейцер Владимир Рихгардтович</t>
  </si>
  <si>
    <t>ИП глава КФХ Щербаков Анатолий Васильевич</t>
  </si>
  <si>
    <t>ИП глава КФХ Монахин Юрий Михайлович</t>
  </si>
  <si>
    <t>ИП Козлов Сергей Алексеевич</t>
  </si>
  <si>
    <t>ИП Колкатинов Юрий Владимирович</t>
  </si>
  <si>
    <t>ИП Сапронов Юрий Алексеевич</t>
  </si>
  <si>
    <t>ИП Канищев Александр Иванович</t>
  </si>
  <si>
    <t>ИП Лапехо Алексей Викторович</t>
  </si>
  <si>
    <t>ООО "МИТК"</t>
  </si>
  <si>
    <t>ЗАО "Коврига"</t>
  </si>
  <si>
    <t>ИП глава КФХ Скобелин Андрей Семенович</t>
  </si>
  <si>
    <t>ИП глава кфх Иванников Александр Артемович</t>
  </si>
  <si>
    <t>КХ "Сергеевское"</t>
  </si>
  <si>
    <t xml:space="preserve">КХ "Полюс" </t>
  </si>
  <si>
    <t>ИП Васильев Николай Яковлевич</t>
  </si>
  <si>
    <t>ИП Глава КФХ Иордан Иван Викторович</t>
  </si>
  <si>
    <t>ИП глава К(Ф)Х Артюшина Светлана Ивановна</t>
  </si>
  <si>
    <t>ООО Учхоз "Миндерлинское"</t>
  </si>
  <si>
    <t>КХ Молоткова Сергея Николаевича</t>
  </si>
  <si>
    <t>241900184378</t>
  </si>
  <si>
    <t>241900027720</t>
  </si>
  <si>
    <t>ООО "Саяны"</t>
  </si>
  <si>
    <t>ООО "Свет"</t>
  </si>
  <si>
    <t>ООО СПП "Энергия"</t>
  </si>
  <si>
    <t>ООО ОПХ "Солянское"</t>
  </si>
  <si>
    <t>ООО "Кросс"</t>
  </si>
  <si>
    <t>СПК (артель) "Налобинский"</t>
  </si>
  <si>
    <t>СПК "Долгово"</t>
  </si>
  <si>
    <t>ООО "Победа"</t>
  </si>
  <si>
    <t>2423009985</t>
  </si>
  <si>
    <t>2440005620</t>
  </si>
  <si>
    <t>2440007018</t>
  </si>
  <si>
    <t>ИП глава КФХ Михайлова Татьяна Павловна</t>
  </si>
  <si>
    <t>ИП глава КФХ Суетнов Виктор Владимирович</t>
  </si>
  <si>
    <t>ИП глава КФХ Соседкин Сергей Иванович</t>
  </si>
  <si>
    <t>ООО "Нива"</t>
  </si>
  <si>
    <t>ООО "Сокол"</t>
  </si>
  <si>
    <t>240400738234</t>
  </si>
  <si>
    <t>ИП глава КФХ Минчик В.М.</t>
  </si>
  <si>
    <t>ООО "Сибирь"</t>
  </si>
  <si>
    <t>2436001091</t>
  </si>
  <si>
    <t>СПК (смешанного типа) "Успех"</t>
  </si>
  <si>
    <t>242200038895</t>
  </si>
  <si>
    <t>242200106070</t>
  </si>
  <si>
    <t>ООО "Медведь"</t>
  </si>
  <si>
    <t>2422002923</t>
  </si>
  <si>
    <t>ООО "Русь"</t>
  </si>
  <si>
    <t>2422002994</t>
  </si>
  <si>
    <t>2422000718</t>
  </si>
  <si>
    <t>СССПК "Апрель"</t>
  </si>
  <si>
    <t>242900491719</t>
  </si>
  <si>
    <t>ООО "Эдельвейс"</t>
  </si>
  <si>
    <t>СПК "Риск"</t>
  </si>
  <si>
    <t>ООО "Истоки"</t>
  </si>
  <si>
    <t>ЗАО "племзавод "Краснотуранский"</t>
  </si>
  <si>
    <t>ООО "Шалоболинское"</t>
  </si>
  <si>
    <t xml:space="preserve">СПК "Алексеевский"   </t>
  </si>
  <si>
    <t>СКПК "Овощевод"</t>
  </si>
  <si>
    <t>2404008506</t>
  </si>
  <si>
    <t>2439001597</t>
  </si>
  <si>
    <t>ООО "Молокановка"</t>
  </si>
  <si>
    <t xml:space="preserve">КХ "Кипсей" </t>
  </si>
  <si>
    <t>2403007034</t>
  </si>
  <si>
    <t>ООО СХП "Шпейтер"</t>
  </si>
  <si>
    <t>2403005767</t>
  </si>
  <si>
    <t xml:space="preserve">ООО СХП "Шпенглерово" </t>
  </si>
  <si>
    <t>2403006070</t>
  </si>
  <si>
    <t>ООО СХП "Агрис"</t>
  </si>
  <si>
    <t>2403006993</t>
  </si>
  <si>
    <t>ООО СХП "Зион-агро"</t>
  </si>
  <si>
    <t>2403006841</t>
  </si>
  <si>
    <t>ООО СХП "Ильтюковское"</t>
  </si>
  <si>
    <t>2403007193</t>
  </si>
  <si>
    <t>ООО СХП "Фортуна"</t>
  </si>
  <si>
    <t>241000163008</t>
  </si>
  <si>
    <t>ООО Агрофирма "Дзержинская"</t>
  </si>
  <si>
    <t>243600577188</t>
  </si>
  <si>
    <t>2436004222</t>
  </si>
  <si>
    <t>2436004180</t>
  </si>
  <si>
    <t>2436001870</t>
  </si>
  <si>
    <t>2416003502</t>
  </si>
  <si>
    <t>2416003076</t>
  </si>
  <si>
    <t>245510542032</t>
  </si>
  <si>
    <t>245500597459</t>
  </si>
  <si>
    <t>ОАО "Назаровское рыбное хозяйство"</t>
  </si>
  <si>
    <t>ИП глава КФХ Сулейманов Виталий Ягофарович</t>
  </si>
  <si>
    <t>ИП глава КФХ Ващекина Татьяна Алексеевна</t>
  </si>
  <si>
    <t>ИП глава К(Ф)Х Кускашев Николай Дмитриевич</t>
  </si>
  <si>
    <t>241301151479</t>
  </si>
  <si>
    <t>2413005043</t>
  </si>
  <si>
    <t>МУП "Рассвет"</t>
  </si>
  <si>
    <t>Субсидии на компенсацию части затрат, связанных с денежной выплатой студентам, получающим высшее проффесиональное образование по направлению подготовки "Сельское и рыбное хозяйство" по очной форме обучения</t>
  </si>
  <si>
    <t>ООО ОПХ "Боготольское"</t>
  </si>
  <si>
    <t>ИП глава КФХ Хохлов Вячеслав Евгеньевич</t>
  </si>
  <si>
    <t>ОАО Агрофирма "Ужурская"</t>
  </si>
  <si>
    <t>ИП глава КФХ Ушаков Александр Алексеевич</t>
  </si>
  <si>
    <t>2435001204</t>
  </si>
  <si>
    <t>2435000987</t>
  </si>
  <si>
    <t>ГОУ НПО ПУ-80</t>
  </si>
  <si>
    <t>ИП глава КФХ Ерошин В.П.</t>
  </si>
  <si>
    <t>2414002091</t>
  </si>
  <si>
    <t>СПЖ-СК "Перспектива"</t>
  </si>
  <si>
    <t>2414003867</t>
  </si>
  <si>
    <t>СПК "Борец"</t>
  </si>
  <si>
    <t>2414002510</t>
  </si>
  <si>
    <t>ССПК "Гавань"</t>
  </si>
  <si>
    <t>2414003899</t>
  </si>
  <si>
    <t xml:space="preserve">240301134672 </t>
  </si>
  <si>
    <t>2404014299</t>
  </si>
  <si>
    <t>СППК "Флагман"</t>
  </si>
  <si>
    <t>2401003130</t>
  </si>
  <si>
    <t>ССПК "Колос"</t>
  </si>
  <si>
    <t>2401002930</t>
  </si>
  <si>
    <t>2442011161</t>
  </si>
  <si>
    <t>2442010400</t>
  </si>
  <si>
    <t>2442010305</t>
  </si>
  <si>
    <t>ИП глава К(Ф)Х Бонох Андрей Егорович</t>
  </si>
  <si>
    <t>ИП глава К(Ф)Х Куземич Павел Георгиевич</t>
  </si>
  <si>
    <t>ИП глава К(Ф)Х Майер Александр Андреевич</t>
  </si>
  <si>
    <t>ИП глава К(Ф)Х Якищик Федор Дмитриевич</t>
  </si>
  <si>
    <t>ИП глава КФХ Хиляс Алексей Александрович</t>
  </si>
  <si>
    <t>ИП глава К(Ф)Х Ващенко Александр Николаевич</t>
  </si>
  <si>
    <t>ИП глава К(Ф)Х Павлов Николай Константинович</t>
  </si>
  <si>
    <t>ССПК "Сибирская деревня"</t>
  </si>
  <si>
    <t>ИП глава КФХ Владимиров Вячеслав Георгиевич</t>
  </si>
  <si>
    <t>2435005713</t>
  </si>
  <si>
    <t>СПК " Колхоз "Рассвет"</t>
  </si>
  <si>
    <t>244402092680</t>
  </si>
  <si>
    <t>ФГУП "Минусинское" Россельхозакадемии</t>
  </si>
  <si>
    <t>2466000063</t>
  </si>
  <si>
    <t xml:space="preserve">ОАО "Красное" </t>
  </si>
  <si>
    <t>2403006305</t>
  </si>
  <si>
    <t xml:space="preserve">ОАО "Тюльковское" </t>
  </si>
  <si>
    <t>2403000938</t>
  </si>
  <si>
    <t xml:space="preserve">СПК "Нива"        </t>
  </si>
  <si>
    <t>ИП глава КФХ Боровков Михаил Иванович</t>
  </si>
  <si>
    <t>242201010758</t>
  </si>
  <si>
    <t>242200692480</t>
  </si>
  <si>
    <t>242200644656</t>
  </si>
  <si>
    <t>242201145579</t>
  </si>
  <si>
    <t>242200384655</t>
  </si>
  <si>
    <t>2433003887</t>
  </si>
  <si>
    <t>2428005102</t>
  </si>
  <si>
    <t>240900497450</t>
  </si>
  <si>
    <t>240900724230</t>
  </si>
  <si>
    <t>ИП глава КФХ Красильников Александр Леонидович</t>
  </si>
  <si>
    <t>ИП глава КФХ Прадедович Евгений Олегович</t>
  </si>
  <si>
    <t>ИП глава КФХ Морозов Алексей Николаевич</t>
  </si>
  <si>
    <t>ИП глава КФХ Гнетов Иван Николаевич</t>
  </si>
  <si>
    <t>ИП Попов Михаил Петрович</t>
  </si>
  <si>
    <t>ИП глава КФХ Макулов Евгений Ваильевич</t>
  </si>
  <si>
    <t>ИП глава КФХ Усков Вячеслав Олегович</t>
  </si>
  <si>
    <t>ИП глава КФХ Денисов Виталий Николаевич</t>
  </si>
  <si>
    <t>ИП глава КФХ Толстихин Николай Иванович</t>
  </si>
  <si>
    <t>ИП глава КФХ Зинкевич Виктор Михайлович</t>
  </si>
  <si>
    <t>ИП глава К(Ф)Х Шулбаев Андрей Кириллович</t>
  </si>
  <si>
    <t>2403007186</t>
  </si>
  <si>
    <t>2403005679</t>
  </si>
  <si>
    <t>2403006143</t>
  </si>
  <si>
    <t xml:space="preserve">ООО СХП  "Жура" </t>
  </si>
  <si>
    <t>2403005887</t>
  </si>
  <si>
    <t>242900460291</t>
  </si>
  <si>
    <t>2401005352</t>
  </si>
  <si>
    <t>СПК "Оракский"</t>
  </si>
  <si>
    <t>2413007280</t>
  </si>
  <si>
    <t>ИП Мусаев Байрам Джангир оглы</t>
  </si>
  <si>
    <t>2459016418</t>
  </si>
  <si>
    <t>242900808701</t>
  </si>
  <si>
    <t>241601127928</t>
  </si>
  <si>
    <t xml:space="preserve">КФХ "Виншу" </t>
  </si>
  <si>
    <t>2416002202</t>
  </si>
  <si>
    <t>2436000531</t>
  </si>
  <si>
    <t xml:space="preserve">ООО "Империя АГРО" </t>
  </si>
  <si>
    <t>ИП глава КФХ Ажаров Виктор Анатольевич</t>
  </si>
  <si>
    <t>ИП глава КФХ Талаев Михаил Иванович</t>
  </si>
  <si>
    <t>ИП глава КФХ Зинович Виктор Константинович</t>
  </si>
  <si>
    <t>ИП глава КФХ Тихонов Виктор Александрович</t>
  </si>
  <si>
    <t>ИП глава КФХ Яковлев Сергей Михайлович</t>
  </si>
  <si>
    <t>ИП глава КФХ Ермолаев Юрий Анатольевич</t>
  </si>
  <si>
    <t>ИП Якищик Анатолий Александрович</t>
  </si>
  <si>
    <t xml:space="preserve">ЗАО "Ильинское" </t>
  </si>
  <si>
    <t xml:space="preserve">ЗАО "Солгонское" </t>
  </si>
  <si>
    <t>ИП глава КФХ Агламзянов Сергей Борисович</t>
  </si>
  <si>
    <t>ЗАО "Свинокомплекс Красноярский"</t>
  </si>
  <si>
    <t xml:space="preserve">СХПК им. VII съезда Советов </t>
  </si>
  <si>
    <t>2415000756</t>
  </si>
  <si>
    <t>Иланский Итог</t>
  </si>
  <si>
    <t>Ирбейский</t>
  </si>
  <si>
    <t>ООО "Ветвистый"</t>
  </si>
  <si>
    <t>2424005969</t>
  </si>
  <si>
    <t>ООО "Восход"</t>
  </si>
  <si>
    <t>245007248515</t>
  </si>
  <si>
    <t>КФХ "Шрейдерово"</t>
  </si>
  <si>
    <t>2418004445</t>
  </si>
  <si>
    <t>2418000585</t>
  </si>
  <si>
    <t>2416004930</t>
  </si>
  <si>
    <t>2416002266</t>
  </si>
  <si>
    <t>2423009953</t>
  </si>
  <si>
    <t>ООО "Сибиряк"</t>
  </si>
  <si>
    <t>КФХ Яворовского Сергея Алекандровича</t>
  </si>
  <si>
    <t>СПССК "Агросибирь"</t>
  </si>
  <si>
    <t>СПССПК "Мельник"</t>
  </si>
  <si>
    <t>2423012931</t>
  </si>
  <si>
    <t>Абанский Итог</t>
  </si>
  <si>
    <t>Ачинский</t>
  </si>
  <si>
    <t>2422000027</t>
  </si>
  <si>
    <t>СПССОК "Агроплюс"</t>
  </si>
  <si>
    <t>СПСК "Доля"</t>
  </si>
  <si>
    <t>Шушенский Итог</t>
  </si>
  <si>
    <t>242200248645</t>
  </si>
  <si>
    <t>242200538658</t>
  </si>
  <si>
    <t>2408000138</t>
  </si>
  <si>
    <t>ИП глава КФХ Кроневальд Наталья Николаевна</t>
  </si>
  <si>
    <t>242900053754</t>
  </si>
  <si>
    <t>242900022932</t>
  </si>
  <si>
    <t>СППК "Малозерский"</t>
  </si>
  <si>
    <t>СХП ЗАО "Владимировское"</t>
  </si>
  <si>
    <t>ОСПК  "Гляден"</t>
  </si>
  <si>
    <t>245200573707</t>
  </si>
  <si>
    <t>2410003785</t>
  </si>
  <si>
    <t>2423012875</t>
  </si>
  <si>
    <t>ОАО "Абалаковский АПК"</t>
  </si>
  <si>
    <t>ИП глава КФХ Петросян В.Э.</t>
  </si>
  <si>
    <t xml:space="preserve">ЗАО "Частоостровское" </t>
  </si>
  <si>
    <t>2410003520</t>
  </si>
  <si>
    <t>ООО "Артель"</t>
  </si>
  <si>
    <t>241700198599</t>
  </si>
  <si>
    <t>241700530704</t>
  </si>
  <si>
    <t>241700025109</t>
  </si>
  <si>
    <t>2417003618</t>
  </si>
  <si>
    <t>ИП глава КФХ Шорохов Геннадий Николаевич</t>
  </si>
  <si>
    <t xml:space="preserve">Сельскохозяйственный производственный кооператив "РОСЬ"      </t>
  </si>
  <si>
    <t>2403008310</t>
  </si>
  <si>
    <t>ИП глава КФХ Ерошин В.В.</t>
  </si>
  <si>
    <t>ИП глава  КФХ Гончарова Нина Федоровна</t>
  </si>
  <si>
    <t>ЗАО "Восток"</t>
  </si>
  <si>
    <t>246100490858</t>
  </si>
  <si>
    <t>381800006500</t>
  </si>
  <si>
    <t>2431002824</t>
  </si>
  <si>
    <t>2431001316</t>
  </si>
  <si>
    <t>2431002750</t>
  </si>
  <si>
    <t>2431002038</t>
  </si>
  <si>
    <t>2428002101</t>
  </si>
  <si>
    <t>2428004042</t>
  </si>
  <si>
    <t>244700162492</t>
  </si>
  <si>
    <t>2454021340</t>
  </si>
  <si>
    <t>244001076931</t>
  </si>
  <si>
    <t>244000411464</t>
  </si>
  <si>
    <t>2440004987</t>
  </si>
  <si>
    <t>ООО "Нектар"</t>
  </si>
  <si>
    <t>2440004306</t>
  </si>
  <si>
    <t>СПК "Ласточка"</t>
  </si>
  <si>
    <t>2404004036</t>
  </si>
  <si>
    <t>Березовский Итог</t>
  </si>
  <si>
    <t>Большемуртинский</t>
  </si>
  <si>
    <t>2403007002</t>
  </si>
  <si>
    <t>2403007980</t>
  </si>
  <si>
    <t>ООО "Чистопольские нивы"</t>
  </si>
  <si>
    <t>КХ "Белое"</t>
  </si>
  <si>
    <t>ФГБОУ ВПО "Красноярский государственный аграрный университет"</t>
  </si>
  <si>
    <t>КГБОУ НПО ПУ № 90</t>
  </si>
  <si>
    <t>2423011920</t>
  </si>
  <si>
    <t>ЗАО "Березовское"</t>
  </si>
  <si>
    <t>ИП глава КФХ Норкина Елена Викторовна</t>
  </si>
  <si>
    <t>2423000911</t>
  </si>
  <si>
    <t>2433003750</t>
  </si>
  <si>
    <t>2433001199</t>
  </si>
  <si>
    <t>2428005208</t>
  </si>
  <si>
    <t>246514926024</t>
  </si>
  <si>
    <t>2427000461</t>
  </si>
  <si>
    <t>2427000415</t>
  </si>
  <si>
    <t>СППК "Васильев-С"</t>
  </si>
  <si>
    <t>2410002118</t>
  </si>
  <si>
    <t>Дзержинский Итог</t>
  </si>
  <si>
    <t>2423013371</t>
  </si>
  <si>
    <t>2424006835</t>
  </si>
  <si>
    <t>2424006306</t>
  </si>
  <si>
    <t>2414002655</t>
  </si>
  <si>
    <t>ООО "Мечта"</t>
  </si>
  <si>
    <t>ИП глава К(Ф)Х Доброходов Дмитрий Николаевич</t>
  </si>
  <si>
    <t>ИП глава К(Ф)Х Шустерова Оксана Александровна</t>
  </si>
  <si>
    <t>СПК "Георгиевский"</t>
  </si>
  <si>
    <t>ООО "Малтат"</t>
  </si>
  <si>
    <t>2450014423</t>
  </si>
  <si>
    <t>ООО "Сибирская теплица"</t>
  </si>
  <si>
    <t>2410000343</t>
  </si>
  <si>
    <t>СКПК "Багульник"</t>
  </si>
  <si>
    <t>2404008898</t>
  </si>
  <si>
    <t>2423002228</t>
  </si>
  <si>
    <t>ИП глава К(Ф)Х Лихтенвальд Александр Владимирович</t>
  </si>
  <si>
    <t>ООО "Агро Мана"</t>
  </si>
  <si>
    <t>ИП Асабин Николай Халилович</t>
  </si>
  <si>
    <t>ИП Хамуха Николай Николаевич</t>
  </si>
  <si>
    <t>ИП глава К(Ф)Х Нефедов Сергей Викторович</t>
  </si>
  <si>
    <t xml:space="preserve">ИП глава К(Ф)Х Фроленко Олег Сергеевич </t>
  </si>
  <si>
    <t>ИП Гусев Андрей Витальевич</t>
  </si>
  <si>
    <t>ИП Баранов Николай Петрович</t>
  </si>
  <si>
    <t>ИП Кальбин Федор Владимирович</t>
  </si>
  <si>
    <t>СПК "Комаровка"</t>
  </si>
  <si>
    <t>ООО "СПК им.Калинина"</t>
  </si>
  <si>
    <t>ООО "Меркурий"</t>
  </si>
  <si>
    <t>245001706350</t>
  </si>
  <si>
    <t>242900074218</t>
  </si>
  <si>
    <t>2423010525</t>
  </si>
  <si>
    <t>ИП глава КФХ Миськов Николай Дмитриевич</t>
  </si>
  <si>
    <t>ИП глава КФХ Орлов Виталий Александрович</t>
  </si>
  <si>
    <t>ИП глава КФХ Соломатов Андрей Михайлович</t>
  </si>
  <si>
    <t>ИП Глава КФХ Холбоева Валентина Ермалаевна</t>
  </si>
  <si>
    <t>ИП глава КФХ Хутиев Вадим Бамятгириевич</t>
  </si>
  <si>
    <t>2439007599</t>
  </si>
  <si>
    <t>242802540830</t>
  </si>
  <si>
    <t>2433003140</t>
  </si>
  <si>
    <t>243500030930</t>
  </si>
  <si>
    <t>244802184777</t>
  </si>
  <si>
    <t>ИП Глава КФХ Гаврилов А.В.</t>
  </si>
  <si>
    <t>ИП глава КФХ Каминская И.В.</t>
  </si>
  <si>
    <t>242900216416</t>
  </si>
  <si>
    <t>ООО "Агролес"</t>
  </si>
  <si>
    <t>КФХ</t>
  </si>
  <si>
    <t>2403006224</t>
  </si>
  <si>
    <t>242900480805</t>
  </si>
  <si>
    <t>245801595399</t>
  </si>
  <si>
    <t>СПК "Рассвет"</t>
  </si>
  <si>
    <t>2431001411</t>
  </si>
  <si>
    <t>ИП глава КФХ Цыглимов Александр Семенович</t>
  </si>
  <si>
    <t>ООО "Мираж"</t>
  </si>
  <si>
    <t>2416004094</t>
  </si>
  <si>
    <t>ООО "Михайловское"</t>
  </si>
  <si>
    <t>2416060853</t>
  </si>
  <si>
    <t>2416005771</t>
  </si>
  <si>
    <t>СПК "Майский"</t>
  </si>
  <si>
    <t>2416005789</t>
  </si>
  <si>
    <t>СПК "Аленушка"</t>
  </si>
  <si>
    <t>2404010784</t>
  </si>
  <si>
    <t>2408004904</t>
  </si>
  <si>
    <t>ООО "Совхоз Елисеевский"</t>
  </si>
  <si>
    <t>Новоселовский</t>
  </si>
  <si>
    <t>ЗАО "Светлолобовское</t>
  </si>
  <si>
    <t xml:space="preserve">ООО "Совхоз Николаевский" </t>
  </si>
  <si>
    <t xml:space="preserve">СЗАО "Ададымское" </t>
  </si>
  <si>
    <t>240200006018</t>
  </si>
  <si>
    <t>2402001431</t>
  </si>
  <si>
    <t>244400000726</t>
  </si>
  <si>
    <t>2448005358</t>
  </si>
  <si>
    <t>2465070163</t>
  </si>
  <si>
    <t>СПСК "Ивановский"</t>
  </si>
  <si>
    <t>243000407025</t>
  </si>
  <si>
    <t>ООО "Богуславское"</t>
  </si>
  <si>
    <t>2430002726</t>
  </si>
  <si>
    <t>ИП Хачатрян О.Х.</t>
  </si>
  <si>
    <t>2440005010</t>
  </si>
  <si>
    <t xml:space="preserve">ЗАО "Авдинское" </t>
  </si>
  <si>
    <t>240403122789</t>
  </si>
  <si>
    <t>ООО "Чулымское"</t>
  </si>
  <si>
    <t>2439002840</t>
  </si>
  <si>
    <t>2439005464</t>
  </si>
  <si>
    <t>244400619749</t>
  </si>
  <si>
    <t>ООО "Удача"</t>
  </si>
  <si>
    <t>ИП глава КФХ Семененко Вадим Иванович</t>
  </si>
  <si>
    <t>ИП глава КФХ Николаев Александр Николаевич</t>
  </si>
  <si>
    <t>ООО "Тасеевский элеватор"</t>
  </si>
  <si>
    <t>СХОППК "Клевер"</t>
  </si>
  <si>
    <t xml:space="preserve">ООО им. Щетинкина </t>
  </si>
  <si>
    <t xml:space="preserve">ФХ "Русь"  </t>
  </si>
  <si>
    <t>2423000929</t>
  </si>
  <si>
    <t>Курагинский Итог</t>
  </si>
  <si>
    <t>Манский</t>
  </si>
  <si>
    <t>244200130414</t>
  </si>
  <si>
    <t>240100792576</t>
  </si>
  <si>
    <t>240100764184</t>
  </si>
  <si>
    <t>240100049353</t>
  </si>
  <si>
    <t>240100783596</t>
  </si>
  <si>
    <t xml:space="preserve">ООО Агрофирма "Учумская" </t>
  </si>
  <si>
    <t>2428004420</t>
  </si>
  <si>
    <t>ООО "Деметра"</t>
  </si>
  <si>
    <t>245905373633</t>
  </si>
  <si>
    <t>243900680010</t>
  </si>
  <si>
    <t>243600721770</t>
  </si>
  <si>
    <t>243600464346</t>
  </si>
  <si>
    <t>244202558205</t>
  </si>
  <si>
    <t>244200134049</t>
  </si>
  <si>
    <t>243901391324</t>
  </si>
  <si>
    <t>243901736480</t>
  </si>
  <si>
    <t xml:space="preserve">ООО "Эдем"  </t>
  </si>
  <si>
    <t>2455030806</t>
  </si>
  <si>
    <t>242900027056</t>
  </si>
  <si>
    <t>241900034870</t>
  </si>
  <si>
    <t>ИП глава КФХ Тарасенко Ю.А.</t>
  </si>
  <si>
    <t>246522284490</t>
  </si>
  <si>
    <t>ОАО "Красноярскагроплем"</t>
  </si>
  <si>
    <t>2401005602</t>
  </si>
  <si>
    <t>243902492237</t>
  </si>
  <si>
    <t>240100304130</t>
  </si>
  <si>
    <t>СПК "Сывель"</t>
  </si>
  <si>
    <t>240302013600</t>
  </si>
  <si>
    <t>2401001051</t>
  </si>
  <si>
    <t>2449001194</t>
  </si>
  <si>
    <t>ФКУ "Следственный изолятор № 3 ГУФС ИН по Кр.Краю"</t>
  </si>
  <si>
    <t>ФКУ объединение ИК № 40 ГУФС ИН по Кр.Краю"</t>
  </si>
  <si>
    <t>ГНУ Красноярский НИИСХ</t>
  </si>
  <si>
    <t>КГБОУ СПО "Минусинский С/х колледж</t>
  </si>
  <si>
    <t>СПК "Возрождение"</t>
  </si>
  <si>
    <t>2455026260</t>
  </si>
  <si>
    <t>СПК "Просторы Нички"</t>
  </si>
  <si>
    <t>2455025820</t>
  </si>
  <si>
    <t>СПСК "Тесь"</t>
  </si>
  <si>
    <t>ООО "Быстрянское"</t>
  </si>
  <si>
    <t xml:space="preserve">ЗАО "Интикульское" </t>
  </si>
  <si>
    <t>ООО "Иваново"</t>
  </si>
  <si>
    <t>ООО "Куллогское"</t>
  </si>
  <si>
    <t>ИП Гуров Денис Владимирович</t>
  </si>
  <si>
    <t>г .Красноярск</t>
  </si>
  <si>
    <t>ООО "Родник"</t>
  </si>
  <si>
    <t>Тюхтетский Итог</t>
  </si>
  <si>
    <t>Ужурский</t>
  </si>
  <si>
    <t>2439000410</t>
  </si>
  <si>
    <t>2433000967</t>
  </si>
  <si>
    <t>243600173523</t>
  </si>
  <si>
    <t>243601269228</t>
  </si>
  <si>
    <t>ПСПК "Арга плюс"</t>
  </si>
  <si>
    <t>ИП глава К(Ф)Х Кайвомага Павел Николаевич</t>
  </si>
  <si>
    <t>ООО "Елена"</t>
  </si>
  <si>
    <t>ИП глава К(Ф)Х Вавилова Татьяна Николаевна</t>
  </si>
  <si>
    <t>ИП глава К(Ф)Х Кулаков Олег Николаевич</t>
  </si>
  <si>
    <t>ИП глава К(Ф)Х Машуков Алексей Александрович</t>
  </si>
  <si>
    <t>2464074609</t>
  </si>
  <si>
    <t>2406000206</t>
  </si>
  <si>
    <t>ИП глава КФХ Колчанов Юрий Петрович</t>
  </si>
  <si>
    <t>245002259190</t>
  </si>
  <si>
    <t>СПКК "Удача"</t>
  </si>
  <si>
    <t>ООО "КТД"</t>
  </si>
  <si>
    <t>2456005062</t>
  </si>
  <si>
    <t>245605203302</t>
  </si>
  <si>
    <t>2427000567</t>
  </si>
  <si>
    <t>Назаровский Итог</t>
  </si>
  <si>
    <t>Н-Ингашский</t>
  </si>
  <si>
    <t>242802122600</t>
  </si>
  <si>
    <t>КСПК "Содружество"</t>
  </si>
  <si>
    <t>2422001969</t>
  </si>
  <si>
    <t>2410000664</t>
  </si>
  <si>
    <t>ЗАО "Кондитерско-макаронная фабрика "Краскон"</t>
  </si>
  <si>
    <t>ИП</t>
  </si>
  <si>
    <t>240100038111</t>
  </si>
  <si>
    <t>240100013318</t>
  </si>
  <si>
    <t>ИП глава КФХ Алиев Азад Талыб Оглы</t>
  </si>
  <si>
    <t>2408000184</t>
  </si>
  <si>
    <t>2431002711</t>
  </si>
  <si>
    <t>ООО "Боготольская птицефабрика"</t>
  </si>
  <si>
    <t>ИП глава КФХ Новосельский Николай Иванович</t>
  </si>
  <si>
    <t>ИП глава КФХ Новосельский Вячеслав Николаевич</t>
  </si>
  <si>
    <t>ИП глава КФХ Дмитриева Лариса Николаевна</t>
  </si>
  <si>
    <t>ИП Малинчик Наталья Витальевна</t>
  </si>
  <si>
    <t>ИП Тихоненко Александр Александрович</t>
  </si>
  <si>
    <t>ИП Стрижнева Наталья Михайловна</t>
  </si>
  <si>
    <t>ИП глава КФХ Бурчян Анжела Михайловна</t>
  </si>
  <si>
    <t>ИП Воронов Виталий Геннадьевич</t>
  </si>
  <si>
    <t>ИП глава КФХ Гаврилова Татьяна Викторовна</t>
  </si>
  <si>
    <t>ИП глава КФХ Снетков Борис Борисович</t>
  </si>
  <si>
    <t>240800656280</t>
  </si>
  <si>
    <t>240800763877</t>
  </si>
  <si>
    <t>240801857172</t>
  </si>
  <si>
    <t>2408000280</t>
  </si>
  <si>
    <t>240900047443</t>
  </si>
  <si>
    <t>ООО СПК "Золотая Нива"</t>
  </si>
  <si>
    <t>Колхоз Прогресс</t>
  </si>
  <si>
    <t>2416000371</t>
  </si>
  <si>
    <t>2436002031</t>
  </si>
  <si>
    <t>СППК "Ковчег"</t>
  </si>
  <si>
    <t>2436003860</t>
  </si>
  <si>
    <t>Тасеевский Итог</t>
  </si>
  <si>
    <t xml:space="preserve">Туруханский </t>
  </si>
  <si>
    <t>ООО "Игарская организация с/х и животноводства"</t>
  </si>
  <si>
    <t>ССПК "Березка"</t>
  </si>
  <si>
    <t>ООО "Анаш"</t>
  </si>
  <si>
    <t>КГБОУ НПО ПТУ 74</t>
  </si>
  <si>
    <t xml:space="preserve">243500916609 </t>
  </si>
  <si>
    <t xml:space="preserve">243500927456 </t>
  </si>
  <si>
    <t>ОАО "Шушенская птицефабрика"</t>
  </si>
  <si>
    <t>ООО "Ильичевское"</t>
  </si>
  <si>
    <t>ООО "Шушь"</t>
  </si>
  <si>
    <t>ООО "Милан"</t>
  </si>
  <si>
    <t>ООО "Ингашский"</t>
  </si>
  <si>
    <t>242900106710</t>
  </si>
  <si>
    <t>245008473707</t>
  </si>
  <si>
    <t>2427000408</t>
  </si>
  <si>
    <t>2427000655</t>
  </si>
  <si>
    <t>2439000515</t>
  </si>
  <si>
    <t>2439001011</t>
  </si>
  <si>
    <t>241103889641</t>
  </si>
  <si>
    <t>ООО "Агрохолдинг Камарчагский"</t>
  </si>
  <si>
    <t>2424003104</t>
  </si>
  <si>
    <t>245010173588</t>
  </si>
  <si>
    <t>2415001710</t>
  </si>
  <si>
    <t>2415004790</t>
  </si>
  <si>
    <t>2415003813</t>
  </si>
  <si>
    <t>Ермаковский</t>
  </si>
  <si>
    <t>2413006336</t>
  </si>
  <si>
    <t>2430002067</t>
  </si>
  <si>
    <t>Партизанский Итог</t>
  </si>
  <si>
    <t>Пировский</t>
  </si>
  <si>
    <t>ООО "Волоковое"</t>
  </si>
  <si>
    <t>2431002341</t>
  </si>
  <si>
    <t>2431002510</t>
  </si>
  <si>
    <t>ООО "Урожай"</t>
  </si>
  <si>
    <t>ООО КФХ "Хакасия"</t>
  </si>
  <si>
    <t>2403007651</t>
  </si>
  <si>
    <t>ООО КФХ "Черемушка"</t>
  </si>
  <si>
    <t>2403005816</t>
  </si>
  <si>
    <t>ООО КФХ "Янн"</t>
  </si>
  <si>
    <t>2403007644</t>
  </si>
  <si>
    <t>Большеулуйский Итог</t>
  </si>
  <si>
    <t>Дзержинский</t>
  </si>
  <si>
    <t>241000066484</t>
  </si>
  <si>
    <t>Бирилюсский</t>
  </si>
  <si>
    <t>Бирилюсский Итог</t>
  </si>
  <si>
    <t>СПоК "Мяско"</t>
  </si>
  <si>
    <t>243800007668</t>
  </si>
  <si>
    <t>243800014880</t>
  </si>
  <si>
    <t>КФХ "Мельничное"</t>
  </si>
  <si>
    <t>2438000960</t>
  </si>
  <si>
    <t>2438000336</t>
  </si>
  <si>
    <t>ИП глава КФХ Гумбатова Т.В.</t>
  </si>
  <si>
    <t>242900414471</t>
  </si>
  <si>
    <t>ООО "Жандат"</t>
  </si>
  <si>
    <t>242900326507</t>
  </si>
  <si>
    <t>ИП глава КФХ Бельтепетеров Василий Анатольевич</t>
  </si>
  <si>
    <t>КФХ "Аристов А.Г."</t>
  </si>
  <si>
    <t>ИП глава КФХ Адашкин Анатолий Федорович</t>
  </si>
  <si>
    <t>ИП Казарян Айказ Оганесович</t>
  </si>
  <si>
    <t>ИП глава К(Ф)Х Шумков Владимир Александрович</t>
  </si>
  <si>
    <t>СПК колхоз "Жеблахтинский"</t>
  </si>
  <si>
    <t>ИП Глава К(Ф)Х Худеев Андрей Георгиевич</t>
  </si>
  <si>
    <t>ИП глава КФХ Шилин Александр Степанович</t>
  </si>
  <si>
    <t>ИП глава КФХ Анохин Александр Анатольевич</t>
  </si>
  <si>
    <t>ИП глава КФХ Семенюк Андрей Валентинович</t>
  </si>
  <si>
    <t>ИП глава КФХ Гузенков Михаил Иванович</t>
  </si>
  <si>
    <t>ИП глава КФХ Кононенко Евгений Николаевич</t>
  </si>
  <si>
    <t>ИП глава КФХ Морозов Николай Васильевич</t>
  </si>
  <si>
    <t>ИП глава КФХ Новоселов Сергей Владимирович</t>
  </si>
  <si>
    <t>241000020401</t>
  </si>
  <si>
    <t>ООО "Луч-1"</t>
  </si>
  <si>
    <t>242200049880</t>
  </si>
  <si>
    <t>244100008611</t>
  </si>
  <si>
    <t>ИП глава КФХ Болсуновский А.И.</t>
  </si>
  <si>
    <t>241500903885</t>
  </si>
  <si>
    <t>241501147695</t>
  </si>
  <si>
    <t>245006300258</t>
  </si>
  <si>
    <t>2415001566</t>
  </si>
  <si>
    <t>ООО "Телец"</t>
  </si>
  <si>
    <t>2440005282</t>
  </si>
  <si>
    <t>2440005370</t>
  </si>
  <si>
    <t>2440005099</t>
  </si>
  <si>
    <t>2440005116</t>
  </si>
  <si>
    <t>243900092071</t>
  </si>
  <si>
    <t>2439007052</t>
  </si>
  <si>
    <t>ИП глава КФХ Шейнмаер А.Ф.</t>
  </si>
  <si>
    <t>2435005199</t>
  </si>
  <si>
    <t>СППК "Оя"</t>
  </si>
  <si>
    <t>2442010873</t>
  </si>
  <si>
    <t>246313605800</t>
  </si>
  <si>
    <t>2435000867</t>
  </si>
  <si>
    <t>2435000810</t>
  </si>
  <si>
    <t>2435003949</t>
  </si>
  <si>
    <t>ФГУП "Михайловское" Россельхозакадемии</t>
  </si>
  <si>
    <t>2422003910</t>
  </si>
  <si>
    <t>243600819750</t>
  </si>
  <si>
    <t>ООО СХП "Мустанг"</t>
  </si>
  <si>
    <t>2411017117</t>
  </si>
  <si>
    <t>245007147010</t>
  </si>
  <si>
    <t>Уярский</t>
  </si>
  <si>
    <t>ИП глава К(Ф)Х Хамуха Екатерина Юрьевна</t>
  </si>
  <si>
    <t>242901320138</t>
  </si>
  <si>
    <t>2464085047</t>
  </si>
  <si>
    <t>840102288064</t>
  </si>
  <si>
    <t>241600509709</t>
  </si>
  <si>
    <t xml:space="preserve">ЗАО "Имисское" </t>
  </si>
  <si>
    <t>2423010003</t>
  </si>
  <si>
    <t>240100812889</t>
  </si>
  <si>
    <t xml:space="preserve">КХ "Спектр" </t>
  </si>
  <si>
    <t>ИП глава КФХ  Бобков Иван Иванович</t>
  </si>
  <si>
    <t>ИП глава КФХ Павлюченко Николай Иванович</t>
  </si>
  <si>
    <t>ИП глава КФХ Шеметько Александр Васильевич</t>
  </si>
  <si>
    <t>ИП глава КФХ Свирко Андрей Степанович</t>
  </si>
  <si>
    <t>ИП Бушин Георгий Александрович</t>
  </si>
  <si>
    <t>ИП глава КФХ Шейнмаер Виктор Александрович</t>
  </si>
  <si>
    <t>241900219052</t>
  </si>
  <si>
    <t>ИП глава К(Ф)Х Бендер Яков Викторович</t>
  </si>
  <si>
    <t>242200454870</t>
  </si>
  <si>
    <t>ООО "Перепел"</t>
  </si>
  <si>
    <t>ЗАО "Приморье"</t>
  </si>
  <si>
    <t>2403006200</t>
  </si>
  <si>
    <t xml:space="preserve">ЗАО "Сибирь" </t>
  </si>
  <si>
    <t>2403005911</t>
  </si>
  <si>
    <t>2439006997</t>
  </si>
  <si>
    <t>2461022289</t>
  </si>
  <si>
    <t>федеральный бюджет</t>
  </si>
  <si>
    <t>ИП глава КФХ Соломатова Гальсима Рахимзяновна</t>
  </si>
  <si>
    <t xml:space="preserve">КХ "Восход" </t>
  </si>
  <si>
    <t>ИП глава КФХ Дерлам Владимир Андреевич</t>
  </si>
  <si>
    <t>ИП глава КФХ Винокуров Сергей Михайлович</t>
  </si>
  <si>
    <t>ИП глава КФХ Ильин Сергей Иванович</t>
  </si>
  <si>
    <t>ООО СХП "Мария"</t>
  </si>
  <si>
    <t>2403005774</t>
  </si>
  <si>
    <t>ООО СХП "Сургутская"</t>
  </si>
  <si>
    <t>2410003168</t>
  </si>
  <si>
    <t>ООО "Таежное"</t>
  </si>
  <si>
    <t>2410003633</t>
  </si>
  <si>
    <t>СПК "Красный Маяк"</t>
  </si>
  <si>
    <t>2410000696</t>
  </si>
  <si>
    <t>2444302977</t>
  </si>
  <si>
    <t>242900375600</t>
  </si>
  <si>
    <t>242900392612</t>
  </si>
  <si>
    <t>242900405702</t>
  </si>
  <si>
    <t>Сухобузимский</t>
  </si>
  <si>
    <t>2435000715</t>
  </si>
  <si>
    <t>КФХ "Сухаревка"</t>
  </si>
  <si>
    <t>240400869678</t>
  </si>
  <si>
    <t>240400060703</t>
  </si>
  <si>
    <t>Абанский</t>
  </si>
  <si>
    <t>2436003807</t>
  </si>
  <si>
    <t>КХ "Луч"</t>
  </si>
  <si>
    <t>ООО "Алексей"</t>
  </si>
  <si>
    <t>ИП Протасов Сергей Владимирович</t>
  </si>
  <si>
    <t>ИП Глава КФХ Владимиров Виталий Александрович</t>
  </si>
  <si>
    <t>ИП глава КФХ Маурер Сергей Александрович</t>
  </si>
  <si>
    <t>2422003589</t>
  </si>
  <si>
    <t xml:space="preserve">СПК "Веда"  </t>
  </si>
  <si>
    <t>2422127224</t>
  </si>
  <si>
    <t>242101839781</t>
  </si>
  <si>
    <t>ИП Киселев Сергей Владимирович</t>
  </si>
  <si>
    <t>ИП глава КФХ Гулевич Александр Васильевич</t>
  </si>
  <si>
    <t>ИП Дремов Юрий Валерьевич</t>
  </si>
  <si>
    <t>ИП глава КФХ Соколов Валерий Александрович</t>
  </si>
  <si>
    <t>ИП глава КФХ Дуюн Сергей Иванович</t>
  </si>
  <si>
    <t>ИП глава КФХ Белкин Юрий Андреевич</t>
  </si>
  <si>
    <t>ИП глава КФХ Ткаченко Иван Иванович</t>
  </si>
  <si>
    <t>ИП Ткаченко  Артем Иванович</t>
  </si>
  <si>
    <t>ИП глава КФХ Хрестин Александр Васильевич</t>
  </si>
  <si>
    <t>ИП Ильенко Ольга Владимировна</t>
  </si>
  <si>
    <t>ИП Журавлев Анатолий Иванович</t>
  </si>
  <si>
    <t>ИП глава КФХ Шерманов Василий Николаевич</t>
  </si>
  <si>
    <t>ИП глава К(Ф)Х  Манкевич Александр Иванович</t>
  </si>
  <si>
    <t>ИП глава К(Ф)Х Кензап Николай Игнатьевич</t>
  </si>
  <si>
    <t>ИП глава КФХ Абельтин Александр Рудольфович</t>
  </si>
  <si>
    <t>ИП глава КФХ Тетюхина Татьяна Николаевна</t>
  </si>
  <si>
    <t>ИП глава (КФХ) Иванов Дмитрий Васильевич</t>
  </si>
  <si>
    <t>ИП глава КФХ Козлов Олег Васильевич</t>
  </si>
  <si>
    <t>КХ Яковлева Анатолия Михайловича</t>
  </si>
  <si>
    <t xml:space="preserve">СПК "Возрождение"             </t>
  </si>
  <si>
    <t>ООО "Доча"</t>
  </si>
  <si>
    <t>2450013878</t>
  </si>
  <si>
    <t>2440006952</t>
  </si>
  <si>
    <t>ИП глава КФХ Яковлев Владимир Васильевич</t>
  </si>
  <si>
    <t>ИП глава КФХ Николаев Виталий Иванович</t>
  </si>
  <si>
    <t>ИП глава КФХ Грицай Владимир Николаевич</t>
  </si>
  <si>
    <t>ИП глава КФХ Питик Степан Юрьевич</t>
  </si>
  <si>
    <t>244307307216</t>
  </si>
  <si>
    <t>244302455179</t>
  </si>
  <si>
    <t>244306516390</t>
  </si>
  <si>
    <t>240301558833</t>
  </si>
  <si>
    <t>240300038599</t>
  </si>
  <si>
    <t>240400438505</t>
  </si>
  <si>
    <t xml:space="preserve"> 2416004249</t>
  </si>
  <si>
    <t>СПК "Зимник"</t>
  </si>
  <si>
    <t>2401002827</t>
  </si>
  <si>
    <t>СПоК</t>
  </si>
  <si>
    <t>241901121973</t>
  </si>
  <si>
    <t>190113397903</t>
  </si>
  <si>
    <t>ЗАО "Искра"</t>
  </si>
  <si>
    <t>2416003478</t>
  </si>
  <si>
    <t>2416000558</t>
  </si>
  <si>
    <t>ООО "Восток"</t>
  </si>
  <si>
    <t>2453014750</t>
  </si>
  <si>
    <t xml:space="preserve">СХА (колхоз) им. Ленина </t>
  </si>
  <si>
    <t>2419004230</t>
  </si>
  <si>
    <t>ООО "Овощи Сибири"</t>
  </si>
  <si>
    <t>242900732481</t>
  </si>
  <si>
    <t>242900979930</t>
  </si>
  <si>
    <t>ООО "Байтак"</t>
  </si>
  <si>
    <t>2414060953</t>
  </si>
  <si>
    <t>ООО "Элита"</t>
  </si>
  <si>
    <t>2414060760</t>
  </si>
  <si>
    <t>2414060865</t>
  </si>
  <si>
    <t>ИП Смирнова Наталья Владимировна</t>
  </si>
  <si>
    <t>СХА "Колхоз Новая жизнь"</t>
  </si>
  <si>
    <t>2416000364</t>
  </si>
  <si>
    <t xml:space="preserve">СХПК Мельничный </t>
  </si>
  <si>
    <t>2450024397</t>
  </si>
  <si>
    <t>2418000112</t>
  </si>
  <si>
    <t>2418002945</t>
  </si>
  <si>
    <t>ООО  ОПХ "Курагинское"</t>
  </si>
  <si>
    <t>ООО "Эльдар"</t>
  </si>
  <si>
    <t>2439006034</t>
  </si>
  <si>
    <t xml:space="preserve">ИП глава К(Ф)Х Войтюк Леонид Александрович     </t>
  </si>
  <si>
    <t>ИП глава К(Ф)Х Гаврин Валерий Васильевич</t>
  </si>
  <si>
    <t xml:space="preserve">ИП Есин Игорь Федорович </t>
  </si>
  <si>
    <t xml:space="preserve">ИП глава К(Ф)Х Фроленко Владимир Федорович   </t>
  </si>
  <si>
    <t>ИП Филиппов Николай Дмитриевич</t>
  </si>
  <si>
    <t>ИП глава К(Ф)Х Тихонов Николай Петрович</t>
  </si>
  <si>
    <t>ИП глава К(Ф)Х Исаков Вячеслав Николаевич</t>
  </si>
  <si>
    <t xml:space="preserve">ООО СХП "Русь" </t>
  </si>
  <si>
    <t>2403005929</t>
  </si>
  <si>
    <t>ООО СХП "Анюта"</t>
  </si>
  <si>
    <t>242900191137</t>
  </si>
  <si>
    <t>2416004418</t>
  </si>
  <si>
    <t>2414004050</t>
  </si>
  <si>
    <t>ООО "Сибирская ферма"</t>
  </si>
  <si>
    <t>ООО Агрофирма "Бузим"</t>
  </si>
  <si>
    <t xml:space="preserve">ЗАО "Сибирь-1" </t>
  </si>
  <si>
    <t>ИП глава К(Ф)Х Борисов Василий Васильевич</t>
  </si>
  <si>
    <t>ИП глава К(Ф)Х Каткова Светлана Федоровна</t>
  </si>
  <si>
    <t>2401002672</t>
  </si>
  <si>
    <t>ООО "Мачинское"</t>
  </si>
  <si>
    <t>2401005391</t>
  </si>
  <si>
    <t>240800588921</t>
  </si>
  <si>
    <t>240800029560</t>
  </si>
  <si>
    <t>240800526820</t>
  </si>
  <si>
    <t>2416001079</t>
  </si>
  <si>
    <t>2425002054</t>
  </si>
  <si>
    <t>КФХ "Наумово"</t>
  </si>
  <si>
    <t>2419003187</t>
  </si>
  <si>
    <t>2419005240</t>
  </si>
  <si>
    <t>2419004254</t>
  </si>
  <si>
    <t>Каратузский Итог</t>
  </si>
  <si>
    <t>Кежемский</t>
  </si>
  <si>
    <t>Кежемский Итог</t>
  </si>
  <si>
    <t>Козульский</t>
  </si>
  <si>
    <t>ООО "Таежный"</t>
  </si>
  <si>
    <t>2421003378</t>
  </si>
  <si>
    <t>Козульский Итог</t>
  </si>
  <si>
    <t>Краснотуранский</t>
  </si>
  <si>
    <t>Ужурский Итог</t>
  </si>
  <si>
    <t> 245004945733</t>
  </si>
  <si>
    <t> 242800670055</t>
  </si>
  <si>
    <t>241501296601</t>
  </si>
  <si>
    <t> 241800029107</t>
  </si>
  <si>
    <t> 241900884980</t>
  </si>
  <si>
    <t>ФГУП "Курагинское" Россельхозакадемии</t>
  </si>
  <si>
    <t>241600567490</t>
  </si>
  <si>
    <t>ООО "Кристалл"</t>
  </si>
  <si>
    <t>ООО "Возраждение"</t>
  </si>
  <si>
    <t>ООО "Алант"</t>
  </si>
  <si>
    <t>К(Ф)Х "Земляк"</t>
  </si>
  <si>
    <t>ООО "Весна"</t>
  </si>
  <si>
    <t>2444302279</t>
  </si>
  <si>
    <t>2450022689</t>
  </si>
  <si>
    <t>Канский Итог</t>
  </si>
  <si>
    <t>Каратузский</t>
  </si>
  <si>
    <t>ГПКК Каратузское ДРСУ</t>
  </si>
  <si>
    <t>ИП глава КФХ Шалько Андрей Николаевич</t>
  </si>
  <si>
    <t>242900502336</t>
  </si>
  <si>
    <t>243500014022</t>
  </si>
  <si>
    <t>2429002873</t>
  </si>
  <si>
    <t>242900732700</t>
  </si>
  <si>
    <t>242900739857</t>
  </si>
  <si>
    <t>246311325910</t>
  </si>
  <si>
    <t>242903801905</t>
  </si>
  <si>
    <t>242900025041</t>
  </si>
  <si>
    <t>381607424065</t>
  </si>
  <si>
    <t>ООО "Крестьяне"</t>
  </si>
  <si>
    <t>242900051429</t>
  </si>
  <si>
    <t>2427000743</t>
  </si>
  <si>
    <t>ЗАО "Гляденское"</t>
  </si>
  <si>
    <t>2427000341</t>
  </si>
  <si>
    <t>2427000454</t>
  </si>
  <si>
    <t xml:space="preserve">ООО "Агрофирма "Учумская" </t>
  </si>
  <si>
    <t>ФХ "Тюльпан"</t>
  </si>
  <si>
    <t>2416000974</t>
  </si>
  <si>
    <t>прочие 2</t>
  </si>
  <si>
    <t>2442004118</t>
  </si>
  <si>
    <t>245903203604</t>
  </si>
  <si>
    <t>2401005088</t>
  </si>
  <si>
    <t>ООО "Заря"</t>
  </si>
  <si>
    <t>2401003186</t>
  </si>
  <si>
    <t>2401000354</t>
  </si>
  <si>
    <t>СХПК "Ивановский"</t>
  </si>
  <si>
    <t>2450021526</t>
  </si>
  <si>
    <t>ИП глава КФХ Цыглимов Анатолий Семенович</t>
  </si>
  <si>
    <t>ИП глава КФХ Юриков Александр Владимирович</t>
  </si>
  <si>
    <t>244300737481</t>
  </si>
  <si>
    <t>2450013518</t>
  </si>
  <si>
    <t>2450013853</t>
  </si>
  <si>
    <t>Минусинский</t>
  </si>
  <si>
    <t>2425000160</t>
  </si>
  <si>
    <t>2455015205</t>
  </si>
  <si>
    <t xml:space="preserve">СПК "Каначульский" </t>
  </si>
  <si>
    <t>ООО "Калиновское"</t>
  </si>
  <si>
    <t>ООО "Джед"</t>
  </si>
  <si>
    <t>ООО "КХ "Полесье"</t>
  </si>
  <si>
    <t>ООО "КХ "Голос"</t>
  </si>
  <si>
    <t>ООО "КХ "Кильчуг"</t>
  </si>
  <si>
    <t>ООО "Мария"</t>
  </si>
  <si>
    <t>ООО "Новый век"</t>
  </si>
  <si>
    <t>ООО "КХ "Родничок"</t>
  </si>
  <si>
    <t>2450018700</t>
  </si>
  <si>
    <t>ООО "Колос"</t>
  </si>
  <si>
    <t>ООО "Шарыповское молоко"</t>
  </si>
  <si>
    <t>2439005626</t>
  </si>
  <si>
    <t>ООО "Папиковское животноводческое хозяйство"</t>
  </si>
  <si>
    <t>2450012909</t>
  </si>
  <si>
    <t>2450012828</t>
  </si>
  <si>
    <t>2450013405</t>
  </si>
  <si>
    <t>ООО "Ермак"</t>
  </si>
  <si>
    <t>244402012692</t>
  </si>
  <si>
    <t>Уярский Итог</t>
  </si>
  <si>
    <t>Шарыповский</t>
  </si>
  <si>
    <t>2441000054</t>
  </si>
  <si>
    <t>ИП Радионов Сергей Николаевич</t>
  </si>
  <si>
    <t xml:space="preserve">ООО "Полесье"                     </t>
  </si>
  <si>
    <t>2442001212</t>
  </si>
  <si>
    <t>КФХ "Островок-1"</t>
  </si>
  <si>
    <t>2442005016</t>
  </si>
  <si>
    <t>КФХ "Лазурь"</t>
  </si>
  <si>
    <t>2442000628</t>
  </si>
  <si>
    <t>КФХ "Фадеево"</t>
  </si>
  <si>
    <t>2423001827</t>
  </si>
  <si>
    <t>ООО "Агрокомплекс Минусинский"</t>
  </si>
  <si>
    <t>2455023196</t>
  </si>
  <si>
    <t>2455025789</t>
  </si>
  <si>
    <t>2455017604</t>
  </si>
  <si>
    <t>ООО "Ничкинское"</t>
  </si>
  <si>
    <t>2455027232</t>
  </si>
  <si>
    <t>ООО "Новотроицкое"</t>
  </si>
  <si>
    <t>2455021110</t>
  </si>
  <si>
    <t>2401000587</t>
  </si>
  <si>
    <t>2422000588</t>
  </si>
  <si>
    <t>240101108770</t>
  </si>
  <si>
    <t>2403007612</t>
  </si>
  <si>
    <t>ИП глава КФХ Шульцев Александр Васильевич</t>
  </si>
  <si>
    <t>ИП глава КФХ Владимиров Владимир Георгиевич</t>
  </si>
  <si>
    <t>ИП глава КФХ Добрынин Владимир Витальевич</t>
  </si>
  <si>
    <t>ИП глава КФХ Краскович Леонид Константинович</t>
  </si>
  <si>
    <t>190117793288</t>
  </si>
  <si>
    <t>242400016962</t>
  </si>
  <si>
    <t>ООО "Горный"</t>
  </si>
  <si>
    <t xml:space="preserve">ЗАО "Телекское" </t>
  </si>
  <si>
    <t>ООО "Ирина"</t>
  </si>
  <si>
    <t xml:space="preserve">СХПК "Весна" </t>
  </si>
  <si>
    <t>КФХ "Земля"</t>
  </si>
  <si>
    <t>ОАО "Южный-2"</t>
  </si>
  <si>
    <t>ООО СХП "Восход"</t>
  </si>
  <si>
    <t>ООО "Эгида"</t>
  </si>
  <si>
    <t>ООО "Сибирь-Агро"</t>
  </si>
  <si>
    <t>2425000161</t>
  </si>
  <si>
    <t>2440007378</t>
  </si>
  <si>
    <t>2416000773</t>
  </si>
  <si>
    <t>2403003738</t>
  </si>
  <si>
    <t>ПССПК "Агросибком-М"</t>
  </si>
  <si>
    <t>2422003645</t>
  </si>
  <si>
    <t>ПССПК "Туран"</t>
  </si>
  <si>
    <t>2422003701</t>
  </si>
  <si>
    <t>241901387412</t>
  </si>
  <si>
    <t>2422000595</t>
  </si>
  <si>
    <t>СПК "Парус"</t>
  </si>
  <si>
    <t>ИП Лебедев Вадим Юрьевич</t>
  </si>
  <si>
    <t>ИП глава КФХ Бикеев Александр Васильевич</t>
  </si>
  <si>
    <t>ИП Чернов Владимир Павлович</t>
  </si>
  <si>
    <t>ИП Светлолобов Николай Борисович</t>
  </si>
  <si>
    <t>2416002675</t>
  </si>
  <si>
    <t xml:space="preserve">246400382814   </t>
  </si>
  <si>
    <t xml:space="preserve">190116757777 </t>
  </si>
  <si>
    <t>2414060745</t>
  </si>
  <si>
    <t>2466228614</t>
  </si>
  <si>
    <t>241600013621</t>
  </si>
  <si>
    <t xml:space="preserve">241601080412 </t>
  </si>
  <si>
    <t>ИП глава КФХ Магеря Ольга Борисовна</t>
  </si>
  <si>
    <t>ССПК "Новая Авда"</t>
  </si>
  <si>
    <t>ССПК "Алина"</t>
  </si>
  <si>
    <t>СПССК "Зеленый дол"</t>
  </si>
  <si>
    <t>СПСК "Зеленкова"</t>
  </si>
  <si>
    <t>2403008060</t>
  </si>
  <si>
    <t>2447010690</t>
  </si>
  <si>
    <t>ИП глава КФХ Баранов Николай Иванович</t>
  </si>
  <si>
    <t xml:space="preserve">2447005316 </t>
  </si>
  <si>
    <t>240402914206</t>
  </si>
  <si>
    <t>312005628809</t>
  </si>
  <si>
    <t>2435005858</t>
  </si>
  <si>
    <t>2401002792</t>
  </si>
  <si>
    <t>ООО "Ас"</t>
  </si>
  <si>
    <t>2401005063</t>
  </si>
  <si>
    <t>ООО "Малиновское"</t>
  </si>
  <si>
    <t>ОАО племзавод  "Шуваевский"</t>
  </si>
  <si>
    <t>СППССК "Победа"</t>
  </si>
  <si>
    <t>СПЗССК "Рассвет"</t>
  </si>
  <si>
    <t>СПСК "Беркут"</t>
  </si>
  <si>
    <t>СПССК "Феникс"</t>
  </si>
  <si>
    <t>СППК "Кедр"</t>
  </si>
  <si>
    <t>ИП Ходасевич Виктор Викторович</t>
  </si>
  <si>
    <t>ООО "Фортуна В"</t>
  </si>
  <si>
    <t>ООО "СПК Тимершик"</t>
  </si>
  <si>
    <t>ООО "Атамановское хлебоприемное предприятие"</t>
  </si>
  <si>
    <t>2419003797</t>
  </si>
  <si>
    <t>243902137881</t>
  </si>
  <si>
    <t>243900046646</t>
  </si>
  <si>
    <t>2424006480</t>
  </si>
  <si>
    <t>241900170880</t>
  </si>
  <si>
    <t>АКХ "Червянское"</t>
  </si>
  <si>
    <t>2416002160</t>
  </si>
  <si>
    <t>ИП глава КФХ Медведев Василий Валерьевич</t>
  </si>
  <si>
    <t>ИП глава КФХ Калинин Артем Геннадьевич</t>
  </si>
  <si>
    <t>ИП глава КФХ Анциферов Иван Иванович</t>
  </si>
  <si>
    <t>ИП глава КФХ Анциферов Сергей Николаевич</t>
  </si>
  <si>
    <t>ИП глава КФХ Анциферов Владимир Николаевич</t>
  </si>
  <si>
    <t>2459015372</t>
  </si>
  <si>
    <t>2459015238</t>
  </si>
  <si>
    <t>Шарыповский Итог</t>
  </si>
  <si>
    <t>Шушенский</t>
  </si>
  <si>
    <t>2442009902</t>
  </si>
  <si>
    <t xml:space="preserve">КФХ "Апилак" </t>
  </si>
  <si>
    <t>СПК "Зенит"</t>
  </si>
  <si>
    <t>2422002465</t>
  </si>
  <si>
    <t>СПК "Лада"</t>
  </si>
  <si>
    <t>2417001924</t>
  </si>
  <si>
    <t xml:space="preserve">ЗАО "Арефьевское" </t>
  </si>
  <si>
    <t xml:space="preserve">ЗАО "Большеуринское" </t>
  </si>
  <si>
    <t xml:space="preserve">ЗАО "Мокрушенское" </t>
  </si>
  <si>
    <t>ОАО "Канская сортоиспытательная станция"</t>
  </si>
  <si>
    <t xml:space="preserve">ОАО "Тайнинское" </t>
  </si>
  <si>
    <t>СПСК "Копейка"</t>
  </si>
  <si>
    <t xml:space="preserve">ООО СХП "Осень" </t>
  </si>
  <si>
    <t>2435000169</t>
  </si>
  <si>
    <t>СПК "Искра"</t>
  </si>
  <si>
    <t>2435004981</t>
  </si>
  <si>
    <t>СПК "Шилинский"</t>
  </si>
  <si>
    <t>2435004830</t>
  </si>
  <si>
    <t>СПОК "Атамановский Аграрный Комплекс"</t>
  </si>
  <si>
    <t>2460201581</t>
  </si>
  <si>
    <t>СППК "Шилинская волость"</t>
  </si>
  <si>
    <t>2435005294</t>
  </si>
  <si>
    <t>Сухобузимский Итог</t>
  </si>
  <si>
    <t>Тасеевский</t>
  </si>
  <si>
    <t>245200519964</t>
  </si>
  <si>
    <t>240401631460</t>
  </si>
  <si>
    <t>Большемуртинский Итог</t>
  </si>
  <si>
    <t>Боготольский</t>
  </si>
  <si>
    <t>ИП глава КФХ Митягин Николай Викторович</t>
  </si>
  <si>
    <t>ИП глава КФХ Бацагин Евгений Николаевич</t>
  </si>
  <si>
    <t>ИП глава КФХ Бредихин Сергей Владимирович</t>
  </si>
  <si>
    <t>ИП глава КФХ Бугорков Дмитрий  Анатольевич</t>
  </si>
  <si>
    <t>ИП глава КФХ Дробушевский Иван Иванович</t>
  </si>
  <si>
    <t>ИП глава КФХ Калугин Олег Ефимович</t>
  </si>
  <si>
    <t>ИП глава КФХ Макеев Николай Павлович</t>
  </si>
  <si>
    <t>240100026170</t>
  </si>
  <si>
    <t>2416003189</t>
  </si>
  <si>
    <t>242200037838</t>
  </si>
  <si>
    <t>242200113687</t>
  </si>
  <si>
    <t>243301038540</t>
  </si>
  <si>
    <t>2442011348</t>
  </si>
  <si>
    <t>241600317838</t>
  </si>
  <si>
    <t>244301217125</t>
  </si>
  <si>
    <t>244301456250</t>
  </si>
  <si>
    <t>СПК "Юбилейный"</t>
  </si>
  <si>
    <t>240403324369</t>
  </si>
  <si>
    <t>246605078942</t>
  </si>
  <si>
    <t>246402251302</t>
  </si>
  <si>
    <t>240401911900</t>
  </si>
  <si>
    <t>240403085142</t>
  </si>
  <si>
    <t>240403038375</t>
  </si>
  <si>
    <t>СППК "Курага"</t>
  </si>
  <si>
    <t>Рыбинский Итог</t>
  </si>
  <si>
    <t>Ирбейский Итог</t>
  </si>
  <si>
    <t>Казачинский</t>
  </si>
  <si>
    <t>241700066666</t>
  </si>
  <si>
    <t>СОКПК "МТС "Партнер"</t>
  </si>
  <si>
    <t>СППК "Сатурн"</t>
  </si>
  <si>
    <t>ИП глава КФХ Ерошина А.А.</t>
  </si>
  <si>
    <t>ООО "Фаначет"</t>
  </si>
  <si>
    <t>СПК "Усолье"</t>
  </si>
  <si>
    <t>2419005258</t>
  </si>
  <si>
    <t>2410003672</t>
  </si>
  <si>
    <t xml:space="preserve">241000058130 </t>
  </si>
  <si>
    <t xml:space="preserve">ООО "Емельяновское" </t>
  </si>
  <si>
    <t>ООО "Пахарь"</t>
  </si>
  <si>
    <t xml:space="preserve">СПК "Солонцы" </t>
  </si>
  <si>
    <t>КФХ "Берта"</t>
  </si>
  <si>
    <t>ОАО "Ачинская хлебная база №17"</t>
  </si>
  <si>
    <t>241600728073</t>
  </si>
  <si>
    <t>242900164800</t>
  </si>
  <si>
    <t xml:space="preserve">ООО "Светлана" </t>
  </si>
  <si>
    <t>2429471441</t>
  </si>
  <si>
    <t>2429471459</t>
  </si>
  <si>
    <t>2433003598</t>
  </si>
  <si>
    <t>ИП Донзаленко Сергей Петрович</t>
  </si>
  <si>
    <t>ИП глава КФХ Герасимов Олег Васильевич</t>
  </si>
  <si>
    <t>ИП Кирдяшкин Василий Иванович</t>
  </si>
  <si>
    <t>ИП Ковалев Борис Васильевич</t>
  </si>
  <si>
    <t>ИП Тарнакин Иван Петрович</t>
  </si>
  <si>
    <t>ООО "Ноябрь-Агро"</t>
  </si>
  <si>
    <t>ИП Печенкин Александр Васильевич</t>
  </si>
  <si>
    <t>ИП глава КФХ Че-киль-лог Андрей Викторович</t>
  </si>
  <si>
    <t>ИП глава КФХ Травинский Петр Петрович</t>
  </si>
  <si>
    <t>ИП глава КФХ Торгашин Гавриил Михайлович</t>
  </si>
  <si>
    <t>ИП глава КФХ Тютюкин Владимир Александрович</t>
  </si>
  <si>
    <t>ИП глава КФХ Смирнов Владимир Михайлович</t>
  </si>
  <si>
    <t>242200027332</t>
  </si>
  <si>
    <t>ООО АПК "Правильные продукты"</t>
  </si>
  <si>
    <t>244200365141</t>
  </si>
  <si>
    <t>242900015572</t>
  </si>
  <si>
    <t>242900031133</t>
  </si>
  <si>
    <t>2433002756</t>
  </si>
  <si>
    <t xml:space="preserve">ЗАО "Марининское" </t>
  </si>
  <si>
    <t>ИП глава КФХ Бахтин Денис Сергеевич</t>
  </si>
  <si>
    <t>ИП глава КФХ Ковалев Юрий Дмитриевич</t>
  </si>
  <si>
    <t>ИП глава КФХ Тесленко Григорий Петрович</t>
  </si>
  <si>
    <t>ИП глава КФХ Марьясова Светлана Владимировна</t>
  </si>
  <si>
    <t>ИП глава КФХ Семенов Анатолий Андреевич</t>
  </si>
  <si>
    <t>СПСК "Зорька"</t>
  </si>
  <si>
    <t>240401637172</t>
  </si>
  <si>
    <t>245500446756</t>
  </si>
  <si>
    <t>243000055535</t>
  </si>
  <si>
    <t>244305832410</t>
  </si>
  <si>
    <t>ИП глава КФХ Белякин Владимир Николаевич</t>
  </si>
  <si>
    <t>ИП Глава КФХ Брух Виктор Андреевич</t>
  </si>
  <si>
    <t>ИП глава КФХ Вензель Андрей Эйволдович</t>
  </si>
  <si>
    <t>ИП глава КФХ Виндерголлер Андрей Эвальдович</t>
  </si>
  <si>
    <t>ИП глава КФХ Гадальшин Рафаиль Равилович</t>
  </si>
  <si>
    <t>2403008359</t>
  </si>
  <si>
    <t>ИП Пашковский Олег Васильевич</t>
  </si>
  <si>
    <t>ИП глава КФХ Бартницкий Федор Федорович</t>
  </si>
  <si>
    <t>ИП глава к(ф)х Примеров Владимир Петрович</t>
  </si>
  <si>
    <t>ИП глава КФХ Вейхлей Сергей Александрович</t>
  </si>
  <si>
    <t>ИП глава КФХ Лейднер Давыд Давыдович</t>
  </si>
  <si>
    <t>ИП глава КФХ Синькевич Владимир Михайлович</t>
  </si>
  <si>
    <t>Канский</t>
  </si>
  <si>
    <t>ССПСК "Партнер"</t>
  </si>
  <si>
    <t>2414002119</t>
  </si>
  <si>
    <t>2401005722</t>
  </si>
  <si>
    <t>244309771335</t>
  </si>
  <si>
    <t>242200912753</t>
  </si>
  <si>
    <t>242900186708</t>
  </si>
  <si>
    <t>ООО "Зеленый мир"</t>
  </si>
  <si>
    <t>ООО "Исток"</t>
  </si>
  <si>
    <t>242900106967</t>
  </si>
  <si>
    <t>242900107209</t>
  </si>
  <si>
    <t>ООО "Кавказское"</t>
  </si>
  <si>
    <t>2448000328</t>
  </si>
  <si>
    <t>2455012721</t>
  </si>
  <si>
    <t>СПСК "Шошинский"</t>
  </si>
  <si>
    <t>2455026567</t>
  </si>
  <si>
    <t>Минусинский Итог</t>
  </si>
  <si>
    <t>Назаровский</t>
  </si>
  <si>
    <t>ООО "Провинция плюс"</t>
  </si>
  <si>
    <t>2444302582</t>
  </si>
  <si>
    <t>ООО "Арга плюс"</t>
  </si>
  <si>
    <t>2444302350</t>
  </si>
  <si>
    <t>ООО "Дубрава"</t>
  </si>
  <si>
    <t>2406000781</t>
  </si>
  <si>
    <t>ИП глава КФХ Варыгин М.А.</t>
  </si>
  <si>
    <t>ИП глава КФХ Корольков С.Г.</t>
  </si>
  <si>
    <t>244202984531</t>
  </si>
  <si>
    <t>2442010344</t>
  </si>
  <si>
    <t>ИП глава КФХ Кучеров Владимир Николаевич</t>
  </si>
  <si>
    <t>ИП Глущенко Вячеслав Михайлович</t>
  </si>
  <si>
    <t>2448004442</t>
  </si>
  <si>
    <t>240301111562</t>
  </si>
  <si>
    <t>2418000063</t>
  </si>
  <si>
    <t>2418000881</t>
  </si>
  <si>
    <t>Саянский Итог</t>
  </si>
  <si>
    <t xml:space="preserve">СПК "Маяк-2" </t>
  </si>
  <si>
    <t>ИП глава КФХ Гуцев Виктор Юрьевич</t>
  </si>
  <si>
    <t>2404007196</t>
  </si>
  <si>
    <t>245501878357</t>
  </si>
  <si>
    <t>2440007064</t>
  </si>
  <si>
    <t>2440007113</t>
  </si>
  <si>
    <t>243300365270</t>
  </si>
  <si>
    <t>СППК "Буско"</t>
  </si>
  <si>
    <t>ООО "Агросфера"</t>
  </si>
  <si>
    <t>2443030110</t>
  </si>
  <si>
    <t>2465043628</t>
  </si>
  <si>
    <t>организации АПК</t>
  </si>
  <si>
    <t>ООО "Сибирский хлебороб"</t>
  </si>
  <si>
    <t>2443034186</t>
  </si>
  <si>
    <t>СППК "Мукомол"</t>
  </si>
  <si>
    <t>2443033778</t>
  </si>
  <si>
    <t>СППК "Ключи"</t>
  </si>
  <si>
    <t>2443030696</t>
  </si>
  <si>
    <t>СХПК "Причулымский"</t>
  </si>
  <si>
    <t>2402002594</t>
  </si>
  <si>
    <t>Ачинский Итог</t>
  </si>
  <si>
    <t>Балахтинский</t>
  </si>
  <si>
    <t>ОАО птицефабрика "Бархатовская"</t>
  </si>
  <si>
    <t>Ермаковский Итог</t>
  </si>
  <si>
    <t>Идринский</t>
  </si>
  <si>
    <t>2422003772</t>
  </si>
  <si>
    <t>СПСК Центральный</t>
  </si>
  <si>
    <t>2422003740</t>
  </si>
  <si>
    <t>Краснотуранский Итог</t>
  </si>
  <si>
    <t>Курагинский</t>
  </si>
  <si>
    <t xml:space="preserve">ЗАО "Белый Яр" </t>
  </si>
  <si>
    <t>ИП глава КФХ Мишуренко Александр Петрович</t>
  </si>
  <si>
    <t xml:space="preserve">КФХ "Пахарь"                    </t>
  </si>
  <si>
    <t>КФХ Овчинникова Виктора Прокопьевича</t>
  </si>
  <si>
    <t xml:space="preserve">КФХ "Шкет" </t>
  </si>
  <si>
    <t>ИП глава К(Ф)Х Брамман Иван Карлович</t>
  </si>
  <si>
    <t>2448000110</t>
  </si>
  <si>
    <t>СПК "Весна-плюс"</t>
  </si>
  <si>
    <t>2448002773</t>
  </si>
  <si>
    <t>СПОК "Березка"</t>
  </si>
  <si>
    <t>2448004756</t>
  </si>
  <si>
    <t>ООО "Мильман-Агро"</t>
  </si>
  <si>
    <t>2448004386</t>
  </si>
  <si>
    <t>ОАО "Молоко"</t>
  </si>
  <si>
    <t>2455004154</t>
  </si>
  <si>
    <t>ООО КХ "Родник"</t>
  </si>
  <si>
    <t>СПСК "Родниковский"</t>
  </si>
  <si>
    <t>СППК "Сельский"</t>
  </si>
  <si>
    <t>ООО "ТРЭНЭКС"</t>
  </si>
  <si>
    <t>СПК "Спектр"</t>
  </si>
  <si>
    <t>ИП глава КФХ Холбеков Виталий Айдарович</t>
  </si>
  <si>
    <t>ИП глава КФХ Аксенов Сергей Михайлович</t>
  </si>
  <si>
    <t>ИП глава КФХ Кильтре Ольга Владимировна</t>
  </si>
  <si>
    <t>ИП глава КФХ  Арутюнян Самвел Размикович</t>
  </si>
  <si>
    <t>ИП глава КФХ Воронежцева Юлия Викторовна</t>
  </si>
  <si>
    <t>ИП глава КФХ Воронов Евгений Геннадьевич</t>
  </si>
  <si>
    <t>ИП глава КФХ Распопин Константин Викторович</t>
  </si>
  <si>
    <t>ИП глава КФХ Полежаева Наталья Александровна</t>
  </si>
  <si>
    <t>ИП глава КФХ Куприянов Максим Анатольевич</t>
  </si>
  <si>
    <t>ИП глава КФХ Фарманов Диер Абдумурадович</t>
  </si>
  <si>
    <t>2455018559</t>
  </si>
  <si>
    <t>ИП глава КФХ Нарутто Владимир Викторович</t>
  </si>
  <si>
    <t>240800066308</t>
  </si>
  <si>
    <t>240800235154</t>
  </si>
  <si>
    <t>240800012937</t>
  </si>
  <si>
    <t>2433000396</t>
  </si>
  <si>
    <t>ИП Андропов Иван Иванович</t>
  </si>
  <si>
    <t>ИП Костюнин Александр Борисович</t>
  </si>
  <si>
    <t>ИП Васильев Андрей Федорович</t>
  </si>
  <si>
    <t>ИП Свищёва Валентина Ефимовна</t>
  </si>
  <si>
    <t>ИП глава КФХ Мартынов Дмитрий Викторович</t>
  </si>
  <si>
    <t>КХ "Колос"</t>
  </si>
  <si>
    <t>ООО "Шуваево-1"</t>
  </si>
  <si>
    <t>ООО ПКК "Раскаты"</t>
  </si>
  <si>
    <t>ООО "Ягодное"</t>
  </si>
  <si>
    <t>ИП глава КФХ Дубровный Андрей Николаевич</t>
  </si>
  <si>
    <t>ИП глава КФХ Похабов Валерий Федорович</t>
  </si>
  <si>
    <t>242901058064</t>
  </si>
  <si>
    <t>2429002859</t>
  </si>
  <si>
    <t>2404015020</t>
  </si>
  <si>
    <t>244302308008</t>
  </si>
  <si>
    <t>2414004155</t>
  </si>
  <si>
    <t>ИП Анохин С.А.</t>
  </si>
  <si>
    <t>ИП Архипов Андрей Николаевич</t>
  </si>
  <si>
    <t>ИП Горемыкин Владимир Валерьевич</t>
  </si>
  <si>
    <t>ИП глава К(Ф)Х  Ротэрмель Сергей Викторович</t>
  </si>
  <si>
    <t>ИП глава КФХ Медведев Юрий Сергеевич</t>
  </si>
  <si>
    <t>ИП глава КФХ Медведчук Анатолий Алексеевич</t>
  </si>
  <si>
    <t>СКПК "Манский"</t>
  </si>
  <si>
    <t>ССПК "Еловский"</t>
  </si>
  <si>
    <t>ИП глава кфх Епифанов Анатолий Александрович</t>
  </si>
  <si>
    <t>ИП глава кфх Клявзер Раиса Степановна</t>
  </si>
  <si>
    <t xml:space="preserve">КФХ "Нива" </t>
  </si>
  <si>
    <t>2423012610</t>
  </si>
  <si>
    <t>СПК "Дороховское-Алтатское"</t>
  </si>
  <si>
    <t>прочие</t>
  </si>
  <si>
    <t>ООО "Агропромышленный холдинг Огород"</t>
  </si>
  <si>
    <t>2404005880</t>
  </si>
  <si>
    <t>ООО "Возрождение"</t>
  </si>
  <si>
    <t>2404110235</t>
  </si>
  <si>
    <t>ИНН</t>
  </si>
  <si>
    <t>СПК "Красная поляна"</t>
  </si>
  <si>
    <t>2456011404</t>
  </si>
  <si>
    <t>ИП глава К(Ф)Х Юдин Владимир Иванович</t>
  </si>
  <si>
    <t>ИП Головко Вячеслав Валерьевич</t>
  </si>
  <si>
    <t xml:space="preserve">ИП Ковалев Вадим Владимирович </t>
  </si>
  <si>
    <t>ИП Рейтер Виктор Робертович</t>
  </si>
  <si>
    <t>2439001163</t>
  </si>
  <si>
    <t>г. Красноярск Итог</t>
  </si>
  <si>
    <t>ООО "Марин-Э"</t>
  </si>
  <si>
    <t>ИП Сафаров Башир Али Оглы</t>
  </si>
  <si>
    <t>ИП глава КФХ Мартыненко Г.А.</t>
  </si>
  <si>
    <t>ООО "Ключи"</t>
  </si>
  <si>
    <t>ООО "Мокрый Ельник"</t>
  </si>
  <si>
    <t xml:space="preserve">ФХ "Союз" </t>
  </si>
  <si>
    <t>ИП Харкевич Нурия Шайхуловна</t>
  </si>
  <si>
    <t>ИП Мартынов Александр Викторович</t>
  </si>
  <si>
    <t>ИП Тимофеева Зоя Владимировна</t>
  </si>
  <si>
    <t>ИП Ротэрмель Александр Викторович</t>
  </si>
  <si>
    <t xml:space="preserve">КФХ "Таганай"                     </t>
  </si>
  <si>
    <t xml:space="preserve">СЗАО "Краснополянское" </t>
  </si>
  <si>
    <t xml:space="preserve">СЗАО "Сахаптинское" </t>
  </si>
  <si>
    <t xml:space="preserve">СПК "Альгинский" </t>
  </si>
  <si>
    <t>СПК "Восход"</t>
  </si>
  <si>
    <t>ИП глава кфх Гезелиус А.А.</t>
  </si>
  <si>
    <t>242900306469</t>
  </si>
  <si>
    <t>2429000160</t>
  </si>
  <si>
    <t>2429001238</t>
  </si>
  <si>
    <t xml:space="preserve">ЗАО "Новоселовское" </t>
  </si>
  <si>
    <t>2429000805</t>
  </si>
  <si>
    <t>2409700559</t>
  </si>
  <si>
    <t>2429002714</t>
  </si>
  <si>
    <t>Емельяновский</t>
  </si>
  <si>
    <t>242400254325</t>
  </si>
  <si>
    <t>2401005698</t>
  </si>
  <si>
    <t>СПК "Диана"</t>
  </si>
  <si>
    <t>ООО "Аграрно-Промышленный Комплекс "Сибирь"</t>
  </si>
  <si>
    <t>ООО "Объединение АгроЭлита"</t>
  </si>
  <si>
    <t>240400100201</t>
  </si>
  <si>
    <t>240403849951</t>
  </si>
  <si>
    <t>246208764222</t>
  </si>
  <si>
    <t>2414003850</t>
  </si>
  <si>
    <t>240403080634</t>
  </si>
  <si>
    <t>244802427050</t>
  </si>
  <si>
    <t>Совхоз "Боготольский"</t>
  </si>
  <si>
    <t>241101855090</t>
  </si>
  <si>
    <t>242900695303</t>
  </si>
  <si>
    <t>244200054280</t>
  </si>
  <si>
    <t xml:space="preserve">КХ "Елена" </t>
  </si>
  <si>
    <t>ИП глава КФХ Роглет Ольга Викторовна</t>
  </si>
  <si>
    <t xml:space="preserve">СХА "колхоз Заветы Ленина" </t>
  </si>
  <si>
    <t>ИП Алиев Маариф Бахрам.Оглы</t>
  </si>
  <si>
    <t>2440004754</t>
  </si>
  <si>
    <t>ООО "Компания Арта"</t>
  </si>
  <si>
    <t>ООО КФХ "Могучий"</t>
  </si>
  <si>
    <t>ООО СХП "Эколпрод"</t>
  </si>
  <si>
    <t>240800885515</t>
  </si>
  <si>
    <t>243900857122</t>
  </si>
  <si>
    <t>2439000868</t>
  </si>
  <si>
    <t>СТППК "Станица"</t>
  </si>
  <si>
    <t>Емельяновский Итог</t>
  </si>
  <si>
    <t>Енисейский</t>
  </si>
  <si>
    <t>ООО "Надежда"</t>
  </si>
  <si>
    <t>2447006119</t>
  </si>
  <si>
    <t>ИП Фученко Н.М.</t>
  </si>
  <si>
    <t>242200037901</t>
  </si>
  <si>
    <t>242200064493</t>
  </si>
  <si>
    <t>КФХ "Любава"</t>
  </si>
  <si>
    <t>2401003274</t>
  </si>
  <si>
    <t>СХО</t>
  </si>
  <si>
    <t>2455022795</t>
  </si>
  <si>
    <t xml:space="preserve">ООО "Тигрицкое" </t>
  </si>
  <si>
    <t>2455028130</t>
  </si>
  <si>
    <t>244301458018</t>
  </si>
  <si>
    <t>241901078319</t>
  </si>
  <si>
    <t>2410003506</t>
  </si>
  <si>
    <t>ООО "Росинка"</t>
  </si>
  <si>
    <t>2424006289</t>
  </si>
  <si>
    <t>ООО "Эдэзи"</t>
  </si>
  <si>
    <t>241001302367</t>
  </si>
  <si>
    <t>241901498560</t>
  </si>
  <si>
    <t>246500823396</t>
  </si>
  <si>
    <t>240403313511</t>
  </si>
  <si>
    <t>245800153503</t>
  </si>
  <si>
    <t>ИП глава КФХ Федяев Станислав Валентинович</t>
  </si>
  <si>
    <t>ИП глава КФХ Арсланов Минсалих Фахруллович</t>
  </si>
  <si>
    <t>ИП глава КФХ Ильин Иван Сергеевич</t>
  </si>
  <si>
    <t>ИП глава КФХ Сидоров Владимир Николаевич</t>
  </si>
  <si>
    <t>ИП глава КФХ Стацук Валентина Петровна</t>
  </si>
  <si>
    <t>ИП глава КФХ Кульба Сергей Петрович</t>
  </si>
  <si>
    <t>ИП глава К(Ф)Х Макаров Василий Алексеевич</t>
  </si>
  <si>
    <t>ИП глава К(Ф)Х Ребекин Николай Николаевич</t>
  </si>
  <si>
    <t>ИП Мухлынин Владимир Иванович</t>
  </si>
  <si>
    <t>ООО "Агросоюз"</t>
  </si>
  <si>
    <t>ИП глава КФХ Ходкин Евгений Витальевич</t>
  </si>
  <si>
    <t>ИП глава КФХ Швабов Виктор Федорович</t>
  </si>
  <si>
    <t>ИП глава КФХ Арутюнян Корюн Исраели</t>
  </si>
  <si>
    <t>ИП глава КФХ Демешко Виктор Григорьевич</t>
  </si>
  <si>
    <t>КФХ Марук Ивана Ивановича</t>
  </si>
  <si>
    <t>ИП глава КФХ Стась Геннадий Николаевич</t>
  </si>
  <si>
    <t>ИП глава КФХ Алексеев Владимир Викторович</t>
  </si>
  <si>
    <t>ИП глава КФХ Матвейкин Евгений Владимирович</t>
  </si>
  <si>
    <t>ИП глава КФХ Михайлов Сергей Николаевич</t>
  </si>
  <si>
    <t>ИП глава КФХ Миллер Александр Федорович</t>
  </si>
  <si>
    <t>ИП глава КФХ Науман Николай Вальдымарович</t>
  </si>
  <si>
    <t>ИП Прохоренко Юрий Владимирович</t>
  </si>
  <si>
    <t>ИП глава КФХ Горбунов Валерий Александрович</t>
  </si>
  <si>
    <t>ИП глава КФХ Украинский Виктор Самуилович</t>
  </si>
  <si>
    <t>244300283439</t>
  </si>
  <si>
    <t>244202375177</t>
  </si>
  <si>
    <t>244202749672</t>
  </si>
  <si>
    <t>190157915800</t>
  </si>
  <si>
    <t>ИП глава КФХ Вагнер Александр Карлович</t>
  </si>
  <si>
    <t>245008999401</t>
  </si>
  <si>
    <t>245009232542</t>
  </si>
  <si>
    <t>245000736249</t>
  </si>
  <si>
    <t>245001422823</t>
  </si>
  <si>
    <t>245009139864</t>
  </si>
  <si>
    <t>СПСК "МяСКО"</t>
  </si>
  <si>
    <t xml:space="preserve">241104387355 </t>
  </si>
  <si>
    <t>245002246803</t>
  </si>
  <si>
    <t>245012658806</t>
  </si>
  <si>
    <t xml:space="preserve">242300006618   </t>
  </si>
  <si>
    <t>2438000015</t>
  </si>
  <si>
    <t>СПоК "Частоостровский"</t>
  </si>
  <si>
    <t>2411020335</t>
  </si>
  <si>
    <t xml:space="preserve">СХПА к-з Заветы Ильича </t>
  </si>
  <si>
    <t xml:space="preserve"> 2448003777</t>
  </si>
  <si>
    <t>2460222408</t>
  </si>
  <si>
    <t>245904579293</t>
  </si>
  <si>
    <t>245906683807</t>
  </si>
  <si>
    <t>ООО "Ильинка"</t>
  </si>
  <si>
    <t>Пировский Итог</t>
  </si>
  <si>
    <t>Рыбинский</t>
  </si>
  <si>
    <t>244800351207</t>
  </si>
  <si>
    <t> 240300886373</t>
  </si>
  <si>
    <t xml:space="preserve">Субсидии на  компенсацию части затрат на приобретение племенного материала, двухпородных гибридных ремонтных свинок для воспроизводства </t>
  </si>
  <si>
    <t xml:space="preserve">Субсидия на компесацию части затрат на оплату тепловой и электрической энергии, используемой при выращивании овощей </t>
  </si>
  <si>
    <t xml:space="preserve">Единовременная помощь начинающим фермерам на бытовое обустройство </t>
  </si>
  <si>
    <t xml:space="preserve">Гранты начинающим фермерам на создание и развитие крестьянского (фермерского) хозяйства  </t>
  </si>
  <si>
    <t> 245503464908</t>
  </si>
  <si>
    <t>245506712997</t>
  </si>
  <si>
    <t>245800143640</t>
  </si>
  <si>
    <t>242900422578</t>
  </si>
  <si>
    <t>2429002993</t>
  </si>
  <si>
    <t>ит</t>
  </si>
  <si>
    <t>244402407404</t>
  </si>
  <si>
    <t>242201004419</t>
  </si>
  <si>
    <t>242500031241</t>
  </si>
  <si>
    <t>240900117274</t>
  </si>
  <si>
    <t>241601681212</t>
  </si>
  <si>
    <t>243800220869</t>
  </si>
  <si>
    <t>243301247022</t>
  </si>
  <si>
    <t>246003837712</t>
  </si>
  <si>
    <t>240500195292</t>
  </si>
  <si>
    <t>240500046741</t>
  </si>
  <si>
    <t>244401562319</t>
  </si>
  <si>
    <t>245502657551</t>
  </si>
  <si>
    <t>2401005627</t>
  </si>
  <si>
    <t>2401006010</t>
  </si>
  <si>
    <t>2416005845</t>
  </si>
  <si>
    <t>2416006077</t>
  </si>
  <si>
    <t>2419005579</t>
  </si>
  <si>
    <t>2422003469</t>
  </si>
  <si>
    <t>2423013445</t>
  </si>
  <si>
    <t>2455029504</t>
  </si>
  <si>
    <t>2428004589</t>
  </si>
  <si>
    <t>2431002493</t>
  </si>
  <si>
    <t>2433004190</t>
  </si>
  <si>
    <t>2403008550</t>
  </si>
  <si>
    <t>СПСК "Агровента"</t>
  </si>
  <si>
    <t>ИП глава КФХ Андрюхов Сергей Константинович</t>
  </si>
  <si>
    <t>ООО "ПК Промышленная упаковка"</t>
  </si>
  <si>
    <t>ИП глава КФХ Подземельникова С.Ю.</t>
  </si>
  <si>
    <t>ИП глава КФХ Терещенко Геннадий Николаевич</t>
  </si>
  <si>
    <t>ЗАО Агропромышленный холдинг "АгроЯрск"</t>
  </si>
  <si>
    <t>ИП глава К(Ф)Х Багиров Агиль нуру Оглы</t>
  </si>
  <si>
    <t>ИП глава КФХ Новоселова Галина Алексеевна</t>
  </si>
  <si>
    <t>ИП глава КФХ Смолин Владимир Иванович</t>
  </si>
  <si>
    <t>ИП глава КФХ Наровский Михаил Владимирович</t>
  </si>
  <si>
    <t>ИП глава КФХ Ходос Станислав Александрович</t>
  </si>
  <si>
    <t>ИП глава КФХ Шлушнис Геннадий Антонасович</t>
  </si>
  <si>
    <t>ИП глава КФХ Журович Сергей Николаевич</t>
  </si>
  <si>
    <t>ООО "Агрохолдинг Енисей"</t>
  </si>
  <si>
    <t>ИП глава КФХ Семенов Сергей Александрович</t>
  </si>
  <si>
    <t>ИП глава КФХ Овчинников Алексей Вячеславович</t>
  </si>
  <si>
    <t>ИП глава КФХ Коледа Сергей Сергеевич</t>
  </si>
  <si>
    <t>ИП глава КФХ Султонов Абдували Анварович</t>
  </si>
  <si>
    <t>ИП глава КФХ Ушаков Анатолий Анатольевич</t>
  </si>
  <si>
    <t>ИП глава КФХ Тимофеева Татьяна Матвеевна</t>
  </si>
  <si>
    <t>ИП Глава К(Ф)Х Морозов Иван Анатольевич</t>
  </si>
  <si>
    <t>КХ "Озерное"</t>
  </si>
  <si>
    <t>КХ "Камчатское"</t>
  </si>
  <si>
    <t>ИП глава КФХ Богданов Евгений Владимирович</t>
  </si>
  <si>
    <t>ИП глава КФХ Кулашков Владимир Иванович</t>
  </si>
  <si>
    <t>ИП глава КФХ Малетин Роман Сергеевич</t>
  </si>
  <si>
    <t>ИП глава К(Ф)Х Зайцева Людмила Владимировна</t>
  </si>
  <si>
    <t>ИП глава КФХ Клименко Алексей Николаевич</t>
  </si>
  <si>
    <t>ИП глава К(Ф)Х Климкин Владимир Иванович</t>
  </si>
  <si>
    <t>ИП глава К(Ф)Х Фролов Евгений Николаевич</t>
  </si>
  <si>
    <t>ИП глава КФХ Сотникова Раиса Махайлова</t>
  </si>
  <si>
    <t>ИП Захаренко Владимир Васильевич</t>
  </si>
  <si>
    <t>ИП глава КФХ Халилов Курбанали Сейдами-оглы</t>
  </si>
  <si>
    <t>СПК "Коолхоз "Чулымский"</t>
  </si>
  <si>
    <t>ИП глава КФХ Семененко Виктор Иванович</t>
  </si>
  <si>
    <t>ИП глава К(Ф)Х Сидоренко Елена Андреевна</t>
  </si>
  <si>
    <t>ИП глава КФХ Агламзянов Александр Сергеевич</t>
  </si>
  <si>
    <t>ИП глава КФХ Рузавин Максим Николаевич</t>
  </si>
  <si>
    <t>ИП глава КФХ Низамутдинов Ильяс Фархутдинович</t>
  </si>
  <si>
    <t>ИП глава К(Ф)Х Бесолов Ахсарбек Музаферович</t>
  </si>
  <si>
    <t>ООО "ФХ "Раздолье"</t>
  </si>
  <si>
    <t>ООО "КХ "Колос"</t>
  </si>
  <si>
    <t>ООО "Кентавр"</t>
  </si>
  <si>
    <t>ИП Никитин Виктор Николаевич</t>
  </si>
  <si>
    <t>ИП глава КФХ Белышев Валерий Викторович</t>
  </si>
  <si>
    <t>ИП глава КФХ Беляшов Анатолий Александрович</t>
  </si>
  <si>
    <t>ООО "АгроЭлита"</t>
  </si>
  <si>
    <t>ООО "Раздолье"</t>
  </si>
  <si>
    <t>2414004123</t>
  </si>
  <si>
    <t>ОАО ПЗ "Красный маяк"</t>
  </si>
  <si>
    <t>ИП глава КФХ Головко Ольга Валерьевна</t>
  </si>
  <si>
    <t>ИП Федоткин Александр Николаевич</t>
  </si>
  <si>
    <t>ИП глава КФХ Дороденко Руслан Валентинович</t>
  </si>
  <si>
    <t xml:space="preserve">КХ "Заря"  </t>
  </si>
  <si>
    <t xml:space="preserve">240100237903   </t>
  </si>
  <si>
    <t xml:space="preserve">240101281694  </t>
  </si>
  <si>
    <t xml:space="preserve">240100434059    </t>
  </si>
  <si>
    <t>2401006035</t>
  </si>
  <si>
    <t xml:space="preserve">244306145636 </t>
  </si>
  <si>
    <t xml:space="preserve">244304483622  </t>
  </si>
  <si>
    <t xml:space="preserve">245207707364 </t>
  </si>
  <si>
    <t xml:space="preserve">240401875314 </t>
  </si>
  <si>
    <t xml:space="preserve">242601593600 </t>
  </si>
  <si>
    <t>2452005262</t>
  </si>
  <si>
    <t>2466137220</t>
  </si>
  <si>
    <t>2435006266</t>
  </si>
  <si>
    <t xml:space="preserve">241001685688  </t>
  </si>
  <si>
    <t>2410002340</t>
  </si>
  <si>
    <t xml:space="preserve">241400333279 </t>
  </si>
  <si>
    <t xml:space="preserve">241500271210  </t>
  </si>
  <si>
    <t xml:space="preserve">241600147495 </t>
  </si>
  <si>
    <t>241600187297</t>
  </si>
  <si>
    <t xml:space="preserve">241600826507  </t>
  </si>
  <si>
    <t>241601091975</t>
  </si>
  <si>
    <t xml:space="preserve">241700328030 </t>
  </si>
  <si>
    <t xml:space="preserve">245010633612   </t>
  </si>
  <si>
    <t xml:space="preserve">245013565209 </t>
  </si>
  <si>
    <t xml:space="preserve">242201372331  </t>
  </si>
  <si>
    <t xml:space="preserve">245502497925  </t>
  </si>
  <si>
    <t xml:space="preserve">245501437183 </t>
  </si>
  <si>
    <t xml:space="preserve">242500009800 </t>
  </si>
  <si>
    <t xml:space="preserve">246512682943  </t>
  </si>
  <si>
    <t xml:space="preserve">242802298731 </t>
  </si>
  <si>
    <t xml:space="preserve">243502429128  </t>
  </si>
  <si>
    <t xml:space="preserve">2439005693423  </t>
  </si>
  <si>
    <t xml:space="preserve">2439042766062 </t>
  </si>
  <si>
    <t xml:space="preserve">243900196850  </t>
  </si>
  <si>
    <t xml:space="preserve">243900220534 </t>
  </si>
  <si>
    <t>2440005797</t>
  </si>
  <si>
    <t>2440005405</t>
  </si>
  <si>
    <t>2440002210</t>
  </si>
  <si>
    <t xml:space="preserve">244200464174  </t>
  </si>
  <si>
    <t xml:space="preserve">244402318987   </t>
  </si>
  <si>
    <t xml:space="preserve">424303897197   </t>
  </si>
  <si>
    <t xml:space="preserve">240402477669   </t>
  </si>
  <si>
    <t>всего</t>
  </si>
  <si>
    <t>2401005585</t>
  </si>
  <si>
    <t>240102048073</t>
  </si>
  <si>
    <t>2444001320</t>
  </si>
  <si>
    <t>241000914039</t>
  </si>
  <si>
    <t>241900249138</t>
  </si>
  <si>
    <t>2423014054</t>
  </si>
  <si>
    <t>2423014061</t>
  </si>
  <si>
    <t>2423009946</t>
  </si>
  <si>
    <t>2455016671</t>
  </si>
  <si>
    <t>245503366530</t>
  </si>
  <si>
    <t>243000270500</t>
  </si>
  <si>
    <t>2435006322</t>
  </si>
  <si>
    <t>246308307484</t>
  </si>
  <si>
    <t>СПок</t>
  </si>
  <si>
    <t>Оказание несвязанной поддержки с/х товаропроизводителям в области растениеводства</t>
  </si>
  <si>
    <t>Субсидии КФХ на возмещение части затрат при оформлении в собственность используемых ими земельных участков из земель сельскохозяйственного назначения</t>
  </si>
  <si>
    <t>Субсидии на компенсацию части затрат на содержание маралов</t>
  </si>
  <si>
    <t>Расходы на проведение мероприятий по агрохимическому и фитопатологическому обследованию земель с/х назначения</t>
  </si>
  <si>
    <t>Субсидии на компенсацию части затрат на реализацию проектов, направленных на развитие несельскохозяйственных видов деятельности в сельской местности</t>
  </si>
  <si>
    <t>СППК "Мясной дом"</t>
  </si>
  <si>
    <t>ИП глава КФХ Цыглимов Семен Анатольевич</t>
  </si>
  <si>
    <t>ИП глава К(Ф)Х Полуситов Михаил Михайлович</t>
  </si>
  <si>
    <t>234901423907</t>
  </si>
  <si>
    <t>ИП глава КФХ Ерошенко Ольга Владимировна</t>
  </si>
  <si>
    <t>ЗАО "Кирова"</t>
  </si>
  <si>
    <t>ООО "СПХ "Дары Малиновки"</t>
  </si>
  <si>
    <t>ООО "Заготовительно-производственный комплекс крайпотребсоюза"</t>
  </si>
  <si>
    <t>ИП глава КФХ Тамирова Амила Алы Кызы</t>
  </si>
  <si>
    <t>ИП глава КФХ Дербека Леонид Григорьевич</t>
  </si>
  <si>
    <t>ИП глава К(Ф)Х Иванов Евгений Владимирович</t>
  </si>
  <si>
    <t>ООО "Аннона"</t>
  </si>
  <si>
    <t>2422004060</t>
  </si>
  <si>
    <t>2464258042</t>
  </si>
  <si>
    <t>Краевое государственное автономное образовательное учреждение "Емельяновский дорожно-строительный техникум"</t>
  </si>
  <si>
    <t>ИП глава КФХ Кузьмин Демид Васильевич</t>
  </si>
  <si>
    <t>ИП глава КФХ Багдасарян Багдасар Анушаванович</t>
  </si>
  <si>
    <t>КГБО НПО "Профессиональное училище № 63"</t>
  </si>
  <si>
    <t>ИП глава КФХ Персман Светлана Владимировна</t>
  </si>
  <si>
    <t xml:space="preserve">246523785965    </t>
  </si>
  <si>
    <t xml:space="preserve">240500020670  </t>
  </si>
  <si>
    <t>ИП глава КФХ Афанасьев Андрей Анатольевич</t>
  </si>
  <si>
    <t>190700551726</t>
  </si>
  <si>
    <t>ООО "Боготолмолоко"</t>
  </si>
  <si>
    <t>2444302215</t>
  </si>
  <si>
    <t>СПСК "Виктория"</t>
  </si>
  <si>
    <t>2442011771</t>
  </si>
  <si>
    <t>ИП глава КФХ Титов Евгений Михайлович</t>
  </si>
  <si>
    <t>ПССПК "ВЕГАС"</t>
  </si>
  <si>
    <t>2455034832</t>
  </si>
  <si>
    <t>ИП глава КФХ Лейднер Данила Карлович</t>
  </si>
  <si>
    <t>ИП глава КФХ Киселев Алексей Владимирович</t>
  </si>
  <si>
    <t>ИП глава К(Ф)Х Кузьменков Алексей Васильевич</t>
  </si>
  <si>
    <t>ООО "Старт"</t>
  </si>
  <si>
    <t>ИП глава КФХ Аверьянов Д.П.</t>
  </si>
  <si>
    <t>ИП глава КФХ Марфин Николай Николаевич</t>
  </si>
  <si>
    <t>ОАО "Птицефабрика Заря"</t>
  </si>
  <si>
    <t>ИП Глава К(Ф)Х Митин Виталий Владимирович</t>
  </si>
  <si>
    <t>ИП глава КФХ Ковригин Александр Александрович</t>
  </si>
  <si>
    <t>ИП глава КФХ Мухутдинов Руслан Миннорович</t>
  </si>
  <si>
    <t>ИП глава К(Ф)Х Мухаметшин Вагиз Харисович</t>
  </si>
  <si>
    <t>ИП глава К(Ф)Х Катаев Афанасий Елиферьевич</t>
  </si>
  <si>
    <t>ИП глава КФХ Джалилов Турал Исмаил Оглы</t>
  </si>
  <si>
    <t>ИП глава К(Ф)Х Кузьмин Юрий Александрович</t>
  </si>
  <si>
    <t>ИП глава КФХ Фукс Андрей Иоганович</t>
  </si>
  <si>
    <t>ИП глава К(Ф)Х Сладченко Александр Федорович</t>
  </si>
  <si>
    <t>ИП глава КФХ Посконный Валерий Александрович</t>
  </si>
  <si>
    <t>ИП глава К(Ф)Х Липнягова Зоя Ильинична</t>
  </si>
  <si>
    <t>ИП глава КФХ Шляхта Владимир Владимирович</t>
  </si>
  <si>
    <t>ИП глава КФХ Улаев Виктор Анатольевич</t>
  </si>
  <si>
    <t>ИП глава КФХ Школин Николай Степанович</t>
  </si>
  <si>
    <t>ИП Глава КФХ Басаргин Александр Андреевич</t>
  </si>
  <si>
    <t>ИП К(Ф)Х Литвинов Владимир Юрьевич</t>
  </si>
  <si>
    <t>ИП глава КФХ Морозов Василий Иванович</t>
  </si>
  <si>
    <t>ИП глава КФХ Романенко Александр Иванович</t>
  </si>
  <si>
    <t>ИП глава КФ)Х Голубев Андрей Кимович</t>
  </si>
  <si>
    <t>ИП глава КФ)Х Апранович Наталья Владимировна</t>
  </si>
  <si>
    <t>ИП глава К(Ф)Х Слотин Евгений Юрьевич</t>
  </si>
  <si>
    <t>ИП глава К(Ф)Х Рождественский Николай Петрович</t>
  </si>
  <si>
    <t>ИП глава К(Ф)Х Михайлов Александр Сергеевич</t>
  </si>
  <si>
    <t>ИП глава К(Ф)Х Черкасов Владимир Михайлович</t>
  </si>
  <si>
    <t>ИП глава К(Ф)Х Ахтямов Шамиль Шарибзянович</t>
  </si>
  <si>
    <t>ИП глава КФХ Тонких Жанна Владимировна</t>
  </si>
  <si>
    <t>ИП глава К(Ф)Х Спирин Николай Васильевич</t>
  </si>
  <si>
    <t>ИП глава КФХ Танкович Роман Анатольевич</t>
  </si>
  <si>
    <t>ИП глава К(Ф)Х Астапов Андрей Сергеевич</t>
  </si>
  <si>
    <t>ИП глава КФХ Горелик Михаил Александрович</t>
  </si>
  <si>
    <t>ИП Глава КФХ Якушевский Евгений Станиславович</t>
  </si>
  <si>
    <t>ИП глава К(Ф)Х Коротченко Виталий Александрович</t>
  </si>
  <si>
    <t>ИП глава КФХ Баурин Максим Анатольевич</t>
  </si>
  <si>
    <t>ИП глава К(Ф)Х Шаробаев Михаил Михайлович</t>
  </si>
  <si>
    <t>ИП глава  КФХ Евлампиев Иван Иванович</t>
  </si>
  <si>
    <t>ИП глава К(Ф)Х Шмидт Евгений Арнович</t>
  </si>
  <si>
    <t>ИП глава КФХ Черкасов Игорь Леонидович</t>
  </si>
  <si>
    <t>240102151899</t>
  </si>
  <si>
    <t>246517727690</t>
  </si>
  <si>
    <t xml:space="preserve">240100597656  </t>
  </si>
  <si>
    <t>240302103405</t>
  </si>
  <si>
    <t xml:space="preserve">245800207773   </t>
  </si>
  <si>
    <t xml:space="preserve">246011350986  </t>
  </si>
  <si>
    <t xml:space="preserve">246605348660  </t>
  </si>
  <si>
    <t xml:space="preserve">244400178484   </t>
  </si>
  <si>
    <t xml:space="preserve">240900673747  </t>
  </si>
  <si>
    <t>241000587279</t>
  </si>
  <si>
    <t>244701228322</t>
  </si>
  <si>
    <t xml:space="preserve">241301921417  </t>
  </si>
  <si>
    <t xml:space="preserve">241400938235 </t>
  </si>
  <si>
    <t xml:space="preserve">241601413608   </t>
  </si>
  <si>
    <t>241600055438</t>
  </si>
  <si>
    <t xml:space="preserve">246515731148  </t>
  </si>
  <si>
    <t>472300018008</t>
  </si>
  <si>
    <t xml:space="preserve">242001725117 </t>
  </si>
  <si>
    <t xml:space="preserve">190701176612   </t>
  </si>
  <si>
    <t xml:space="preserve">242305977765  </t>
  </si>
  <si>
    <t xml:space="preserve">245508504819   </t>
  </si>
  <si>
    <t>190700067466</t>
  </si>
  <si>
    <t>245509639110</t>
  </si>
  <si>
    <t>245503292085</t>
  </si>
  <si>
    <t xml:space="preserve">245508461259   </t>
  </si>
  <si>
    <t xml:space="preserve">242802388921   </t>
  </si>
  <si>
    <t xml:space="preserve">246311936757  </t>
  </si>
  <si>
    <t xml:space="preserve">242901237176  </t>
  </si>
  <si>
    <t xml:space="preserve">243500319828   </t>
  </si>
  <si>
    <t xml:space="preserve">243902272200 </t>
  </si>
  <si>
    <t xml:space="preserve">245905257066  </t>
  </si>
  <si>
    <t>244200166844</t>
  </si>
  <si>
    <t>ИП глава К(Ф)Х Шаров Владимир Владимирович</t>
  </si>
  <si>
    <t>ИП глава К(Ф)Х Балтман Яна Оскаровна</t>
  </si>
  <si>
    <t>241901336873</t>
  </si>
  <si>
    <t>ИП глава К(Ф)Х Халбабаев Борис Владимирович</t>
  </si>
  <si>
    <t>ООО "Саянмолоко"</t>
  </si>
  <si>
    <t>ООО Племзавод "Таежный"</t>
  </si>
  <si>
    <t>Куземич Павел Георгиевич</t>
  </si>
  <si>
    <t>Субсидия на компенсацию части затрат на приобретение импортированных быков-производителей, хряков-производителей</t>
  </si>
  <si>
    <t>краевой бюджет</t>
  </si>
  <si>
    <t>Субсидии на возмещение части затрат на уплату процентов по кредитам, полученным на срок до 10 лет</t>
  </si>
  <si>
    <t xml:space="preserve">Субсидии на возмещение части затрат на уплату процентов по кредитам, полученным с/х товаропроизводителями на срок до 2 лет </t>
  </si>
  <si>
    <t>Субсидии на возмещение части затрат на уплату процентов по кредитам, полученным организациями АПК на срок до 2 лет</t>
  </si>
  <si>
    <t>Субсидии на компенсацию части затрат по посеву многолетних подпокровных и беспокровных трав</t>
  </si>
  <si>
    <t>Безвозмездно переданные средства химической защиты растений</t>
  </si>
  <si>
    <t>Субсидии на удешевление стоимости семени и жидкого азота</t>
  </si>
  <si>
    <t>Субсидии на содержание  племенного крупного рогатого скота мясного направления и племенных быков-производителей мясного направления</t>
  </si>
  <si>
    <t>Субсидии на удешевление стоимости семени для искуственного осеменения КРС мясного направления и жидкого азота</t>
  </si>
  <si>
    <t>Субсидии на компенсацию части затрат на приобретение племенного материала разводимых пород КРС мясного направления</t>
  </si>
  <si>
    <t xml:space="preserve"> Субсидия на компенсацию части затрат на содержание коров и нетелей КРС</t>
  </si>
  <si>
    <t>Субсидии на 1 литр реализованного молока</t>
  </si>
  <si>
    <t>Субсидии на компенсацию части затрат на производство и реализацию продукции свиноводства, мяса свиней и мясопродуктов</t>
  </si>
  <si>
    <t>Субсидии на компенсацию части затрат, связанных с оплатой первоначального (авансового) лизингового взноса и очередных лизинговых платежей по заключенным договорам финансового лизинга</t>
  </si>
  <si>
    <t>Субсидии на компенсацию части затрат, связанных с приобретением изделий автомобильной промышленности, с/х машин, оборудования технологического для пищевой, мясомолочной и рыбной промышленности</t>
  </si>
  <si>
    <t xml:space="preserve">Субсидия на компесацию части затрат, связанных с капитальным ремонтом тракторов и (или) их агрегатов </t>
  </si>
  <si>
    <t>Субсидии на компенсацию части затрат, связанных с  закупом животноводческой продукции (молока, мяса свиней, мяса КРС) у населения</t>
  </si>
  <si>
    <t>Таймырский Долгано-Ненецкий</t>
  </si>
  <si>
    <t>ИП глава КФХ Апанасенко Сергей Сергеевич</t>
  </si>
  <si>
    <t>Информация о предоставлении государственной поддержки субъектам агропромышленного комплекса края за 2014 год</t>
  </si>
  <si>
    <t>тыс. рублей</t>
  </si>
  <si>
    <t>Субсидии для погашения части затрат, связанных с выплатой заработной платы молодым специалистам</t>
  </si>
  <si>
    <t>Ф.И.О руководителя</t>
  </si>
  <si>
    <t>Тихоненко Максим Владимирович, и.о.директора</t>
  </si>
  <si>
    <t>Носов Юрий Михайлович, директор</t>
  </si>
  <si>
    <t>Кибан Ригат Карлович, директор</t>
  </si>
  <si>
    <t>Мутовин Александр Николаевич, генеральный директор</t>
  </si>
  <si>
    <t>Куземич Надежда Куприяновна, директор</t>
  </si>
  <si>
    <t>Дядичкин Александр Иосифович, директор</t>
  </si>
  <si>
    <t>Штейн Михаил Михайлович, директор</t>
  </si>
  <si>
    <t>Кособуко Николай Васильевич, директор</t>
  </si>
  <si>
    <t>Астафьев Александр Павлович, директор</t>
  </si>
  <si>
    <t>Костюченко Альбина Ильинична, директор</t>
  </si>
  <si>
    <t>Фролов Валерий Владимирович, директор</t>
  </si>
  <si>
    <t>Богданкевич Валентина Альбертовна, директор</t>
  </si>
  <si>
    <t>Пышкин Владимир Иванович, председатель</t>
  </si>
  <si>
    <t>Голушко Виктор Никитич, директор</t>
  </si>
  <si>
    <t>Астапов Сергей Анатольевич,  директор</t>
  </si>
  <si>
    <t>Зеленков Игорь Александрович, директор</t>
  </si>
  <si>
    <t>Горелик Елена Викторовна, директор</t>
  </si>
  <si>
    <t>Майдуков Виктор Васильевич, директор</t>
  </si>
  <si>
    <t>Бельская Валентина Богдановна, директор</t>
  </si>
  <si>
    <t>Астафьева Нина Григорьевна, председатель</t>
  </si>
  <si>
    <t>Шпаковская Валентина Васильевна, председатель</t>
  </si>
  <si>
    <t>Ломаско Олег Юрьевич, глава кх</t>
  </si>
  <si>
    <t>Авсиевич Михаил Михайлович,  глава кх</t>
  </si>
  <si>
    <t>Ходкин Виталий Васильевич, глава кх</t>
  </si>
  <si>
    <t>Рынг Олег Григорьевич,      глава кх</t>
  </si>
  <si>
    <t>Соломко Василий Иванович, глава кх</t>
  </si>
  <si>
    <t>Туров Борис Павлович, глава кх</t>
  </si>
  <si>
    <t>Ломаско Ирма Александровна, глава кфх</t>
  </si>
  <si>
    <t>Анашкина Татьяна Николаевна, председатель</t>
  </si>
  <si>
    <t>Плескач Михаил Владимирович, председатель</t>
  </si>
  <si>
    <t>Бушин Георгий Александрович</t>
  </si>
  <si>
    <t>Астапов Андрей Сергеевич, глава кфх</t>
  </si>
  <si>
    <t>Бонох Андрей Егорович</t>
  </si>
  <si>
    <t>Примеров Владимир Петрович</t>
  </si>
  <si>
    <t>Бобков Иван Иванович</t>
  </si>
  <si>
    <t>Бартницкий Федор Федорович</t>
  </si>
  <si>
    <t>Вейхлей Сергей Александрович</t>
  </si>
  <si>
    <t xml:space="preserve"> Горелик Михаил Александрович</t>
  </si>
  <si>
    <t>Гулевич Александр Васильевич</t>
  </si>
  <si>
    <t>Киселев Алексей Владимирович</t>
  </si>
  <si>
    <t>Ковалев Юрий Дмитриевич</t>
  </si>
  <si>
    <t>Лейднер Андрей Карлович</t>
  </si>
  <si>
    <t>Лейднер Давыд Давыдович</t>
  </si>
  <si>
    <t>Лейднер Данила Карлович</t>
  </si>
  <si>
    <t>Наровский Михаил Владимирович</t>
  </si>
  <si>
    <t>Павлюченко Николай Иванович</t>
  </si>
  <si>
    <t>Свирко Андрей Степанович</t>
  </si>
  <si>
    <t>Синькевич Владимир Михайлович</t>
  </si>
  <si>
    <t>Смолин Владимир Иванович</t>
  </si>
  <si>
    <t>Танкович Роман Анатольевич</t>
  </si>
  <si>
    <t>Ходкин Евгений Витальевич</t>
  </si>
  <si>
    <t>Ходос Станислав Александрович</t>
  </si>
  <si>
    <t>Холбеков Виталий Айдарович</t>
  </si>
  <si>
    <t>Хохлов Вячеслав Евгеньевич</t>
  </si>
  <si>
    <t>Швабов Виктор Федорович</t>
  </si>
  <si>
    <t>Шеметько Александр Васильевич</t>
  </si>
  <si>
    <t>Киселев Сергей Владимирович</t>
  </si>
  <si>
    <t>Маслобоев Николай Анатольевич</t>
  </si>
  <si>
    <t>Пашковский Олег Васильевич</t>
  </si>
  <si>
    <t>Ходасевич Виктор Викторович</t>
  </si>
  <si>
    <t>Аксенов Сергей Михайлович</t>
  </si>
  <si>
    <t>Алексеев Владимир Викторович</t>
  </si>
  <si>
    <t>Андрюхов Сергей Константинович</t>
  </si>
  <si>
    <t>Арутюнян Корюн Исраели</t>
  </si>
  <si>
    <t>Демешко Виктор Григорьевич</t>
  </si>
  <si>
    <t>Кильтре Ольга Владимировна</t>
  </si>
  <si>
    <t>Матвейкин Евгений Владимирович</t>
  </si>
  <si>
    <t>Стась Геннадий Николаевич</t>
  </si>
  <si>
    <t>Ушаков Александр Алексеевич</t>
  </si>
  <si>
    <t>Шейнмаер Виктор Александрович</t>
  </si>
  <si>
    <t>Шейнмаер Александр Федорович, глава кфх</t>
  </si>
  <si>
    <t>Шлушнис Геннадий Антонасович</t>
  </si>
  <si>
    <t>Цебиков Роман Владимирович, председатель</t>
  </si>
  <si>
    <t>Калинин Максим Сергеевич, директор</t>
  </si>
  <si>
    <t>Шатунова Валентина Павловна, генеральный директор</t>
  </si>
  <si>
    <t>Юриков Александр Владимирович</t>
  </si>
  <si>
    <t>Марук Ивана Ивановича</t>
  </si>
  <si>
    <t>Апуник Павел Павлович, генеральный директор</t>
  </si>
  <si>
    <t>Левицкий Александр Васильевич, директор</t>
  </si>
  <si>
    <t>Шипицын Константин Валерьевич, начальник</t>
  </si>
  <si>
    <t>Калинин Сергей Геннадьевич, председатель</t>
  </si>
  <si>
    <t>Борисевич Вячеслав Михайлович, председатель</t>
  </si>
  <si>
    <t>Зырянова Лидия Адамовна, председатель</t>
  </si>
  <si>
    <t>2443005481</t>
  </si>
  <si>
    <t>Владимиров Владимир Георгиевич</t>
  </si>
  <si>
    <t>Владимиров Вячеслав Георгиевич</t>
  </si>
  <si>
    <t>Липнягова Зоя Ильинична</t>
  </si>
  <si>
    <t>Миллер Александр Федорович</t>
  </si>
  <si>
    <t>Михайлов Сергей Николаевич</t>
  </si>
  <si>
    <t>Науман Николай Вальдымарович</t>
  </si>
  <si>
    <t>Тесленко Григорий Петрович</t>
  </si>
  <si>
    <t>Шульцев Александр Васильевич</t>
  </si>
  <si>
    <t>Тыняный Владимир Алексеевич, директор</t>
  </si>
  <si>
    <t>Юртаев Семен Николаевич, генеральный директор</t>
  </si>
  <si>
    <t>Найверт Александр Владимирович, директор</t>
  </si>
  <si>
    <t>Метелкин Алексей Егорович, директор</t>
  </si>
  <si>
    <t>Шпенглер Сергей Владимирович, директор</t>
  </si>
  <si>
    <t>Шпейтер Сергей Карлович, директор</t>
  </si>
  <si>
    <t>Шпейтер Александр Александрович,   директор</t>
  </si>
  <si>
    <t>Губин Андрей Михайлович, директор</t>
  </si>
  <si>
    <t>Кауфман Александр Эммануилович, директор</t>
  </si>
  <si>
    <t>Передельский Виталий Зауриевич, генеральный директор</t>
  </si>
  <si>
    <t>Греб Александр Владимирович, директор</t>
  </si>
  <si>
    <t>Маликов Павел Александрович, директор</t>
  </si>
  <si>
    <t>Сафронов Николай Иванович, директор</t>
  </si>
  <si>
    <t>Евдокименко Алексей Васильевич, директор</t>
  </si>
  <si>
    <t>Аниканов Александр Алексеевич, директор</t>
  </si>
  <si>
    <t>Губин Юрий Михайлович, директор</t>
  </si>
  <si>
    <t>Несин Валерий Иванович, директор</t>
  </si>
  <si>
    <t>Сургутская Татьяна Александровна, директор</t>
  </si>
  <si>
    <t>Абдин Константин Анатольевич, директор</t>
  </si>
  <si>
    <t>Анисимов Виктор Павлович, директор</t>
  </si>
  <si>
    <t>Янн Владимир Карлович, директор</t>
  </si>
  <si>
    <t>Иккес Александр Вольдмович, директор</t>
  </si>
  <si>
    <t>Белёва Татьяна Александровна, директор</t>
  </si>
  <si>
    <t>Юртаев Сергей Николаевич, директор</t>
  </si>
  <si>
    <t>Вишленкова Марина Викторовна, директор</t>
  </si>
  <si>
    <t>Золотарев Иван Александрович, председатель</t>
  </si>
  <si>
    <t>Вайда Александр Вдадимирович, председатель</t>
  </si>
  <si>
    <t>Майснер Дмитрий Владимирович, генеральный директор</t>
  </si>
  <si>
    <t>2403007482</t>
  </si>
  <si>
    <t>Воронов Виталий Геннадьевич</t>
  </si>
  <si>
    <t>Арутюнян Самвел Размикович</t>
  </si>
  <si>
    <t>Бурчян Анжела Михайловна</t>
  </si>
  <si>
    <t>Владыкин Андрей Сергеевич</t>
  </si>
  <si>
    <t>Воронежцева Юлия Викторовна</t>
  </si>
  <si>
    <t>Воронов Евгений Геннадьевич</t>
  </si>
  <si>
    <t>Гаврилова Татьяна Викторовна</t>
  </si>
  <si>
    <t>Грицай Владимир Николаевич</t>
  </si>
  <si>
    <t>Гумбатова Т.В.</t>
  </si>
  <si>
    <t>Дербека Леонид Григорьевич</t>
  </si>
  <si>
    <t>Джалилов Турал Исмаил Оглы</t>
  </si>
  <si>
    <t>Дмитриев Александр Николаевич</t>
  </si>
  <si>
    <t>Дмитриева Лариса Николаевна</t>
  </si>
  <si>
    <t>Журович Сергей Николаевич</t>
  </si>
  <si>
    <t>Коледа Сергей Сергеевич</t>
  </si>
  <si>
    <t>Красильников Александр Леонидович</t>
  </si>
  <si>
    <t>Минчик Владимир Михайлович, глава кфх</t>
  </si>
  <si>
    <t>Морозов Алексей Николаевич</t>
  </si>
  <si>
    <t>Новосельский Вячеслав Николаевич</t>
  </si>
  <si>
    <t>Новосельский Николай Иванович</t>
  </si>
  <si>
    <t>Овчинников Алексей Вячеславович</t>
  </si>
  <si>
    <t>Петросян Вачаган Эмили</t>
  </si>
  <si>
    <t>246213909561</t>
  </si>
  <si>
    <t>Питик Степан Юрьевич</t>
  </si>
  <si>
    <t>Прадедович Евгений Олегович</t>
  </si>
  <si>
    <t>Семенов Сергей Александрович</t>
  </si>
  <si>
    <t>Снетков Борис Борисович</t>
  </si>
  <si>
    <t>Чеботников Антон Александрович</t>
  </si>
  <si>
    <t>Югай Яков Петрович</t>
  </si>
  <si>
    <t>Якушевский Евгений Станиславович</t>
  </si>
  <si>
    <t>Малинчик Наталья Витальевна</t>
  </si>
  <si>
    <t>Стрижнева Наталья Михайловна</t>
  </si>
  <si>
    <t>Тихоненко Александр Александрович</t>
  </si>
  <si>
    <t>Тихонов Сергей Васильевич, председатель</t>
  </si>
  <si>
    <t>Матяш Сергей Викторович, председатель</t>
  </si>
  <si>
    <t>Тыльцев Сергей Иванович, председатель</t>
  </si>
  <si>
    <t>Арсланов Минсалих Фахруллович</t>
  </si>
  <si>
    <t>Ильин Иван Сергеевич</t>
  </si>
  <si>
    <t>240501052956</t>
  </si>
  <si>
    <t>240500208840</t>
  </si>
  <si>
    <t>240500213664</t>
  </si>
  <si>
    <t>240500452084</t>
  </si>
  <si>
    <t>Майер Александр Андреевич</t>
  </si>
  <si>
    <t>Персман Светлана Владимировна</t>
  </si>
  <si>
    <t>Сидоров Владимир Николаевич</t>
  </si>
  <si>
    <t>Стацук Валентина Петровна</t>
  </si>
  <si>
    <t>Сулейманов Виталий Ягофарович</t>
  </si>
  <si>
    <t>Федяев Станислав Валентинович</t>
  </si>
  <si>
    <t>Горбунов Валерий Александрович</t>
  </si>
  <si>
    <t>Добрынин Владимир Витальевич</t>
  </si>
  <si>
    <t>Краскович Леонид Константинович</t>
  </si>
  <si>
    <t>Кульба Сергей Петрович</t>
  </si>
  <si>
    <t>Нарутто Владимир Викторович</t>
  </si>
  <si>
    <t>Николаев Виталий Иванович</t>
  </si>
  <si>
    <t>Отап Владимир Валерьевич</t>
  </si>
  <si>
    <t>Подземельникова С.Ю.</t>
  </si>
  <si>
    <t>Украинский Виктор Самуилович</t>
  </si>
  <si>
    <t>Яковлев Владимир Васильевич</t>
  </si>
  <si>
    <t>Прохоренко Юрий Владимирович</t>
  </si>
  <si>
    <t>Титов Евгений Михайлович</t>
  </si>
  <si>
    <t>Шляхта Владимир Владимирович</t>
  </si>
  <si>
    <t>Управляющая организация ЗАО "Аграрная Группа"  в лице ген.директора Тютюшева Андрея Петровича</t>
  </si>
  <si>
    <t>Колесников Сергей Яковлевич, председатель</t>
  </si>
  <si>
    <t>Какуркин Александр Михайлович, председатель</t>
  </si>
  <si>
    <t>Тупеко Геннадий Николаевич, председатель</t>
  </si>
  <si>
    <t>Казенный Александр Петрович, председатель</t>
  </si>
  <si>
    <t>Гольдман Роман Геннадьевич, директор</t>
  </si>
  <si>
    <t>Денисов Виталий Николаевич</t>
  </si>
  <si>
    <t>Гнетов Иван Николаевич</t>
  </si>
  <si>
    <t>Доброходов Дмитрий Николаевич</t>
  </si>
  <si>
    <t>Коротченко Виталий Александрович</t>
  </si>
  <si>
    <t>Макулов Евгений Ваильевич</t>
  </si>
  <si>
    <t>Усков Вячеслав Олегович</t>
  </si>
  <si>
    <t>Попов Михаил Петрович</t>
  </si>
  <si>
    <t>Якищик Федор Дмитриевич</t>
  </si>
  <si>
    <t>Цебикова Валентина Александровна, генеральный директор</t>
  </si>
  <si>
    <t>Крикливых Евгений Валерьевич, генеральный директор</t>
  </si>
  <si>
    <t>Зуевич Владимир Васильевич, директор</t>
  </si>
  <si>
    <t>Федоренко Сергей Сергеевич, генеральный директор</t>
  </si>
  <si>
    <t>Олейник Любовь Ивановна, генеральный директор</t>
  </si>
  <si>
    <t>Иванов Андрей Юрьевич, директор</t>
  </si>
  <si>
    <t>Чулкин Владимир Федорович, директор</t>
  </si>
  <si>
    <t>Запольский Константин Владимирович, директор</t>
  </si>
  <si>
    <t>Борисов Василий Васильевич</t>
  </si>
  <si>
    <t xml:space="preserve">Генза Александр Олегович      </t>
  </si>
  <si>
    <t xml:space="preserve">Генза Алексей Олегович  </t>
  </si>
  <si>
    <t>Кузьменков Алексей Васильевич</t>
  </si>
  <si>
    <t>Михайлова Татьяна Павловна</t>
  </si>
  <si>
    <t>Толстихин Николай Иванович</t>
  </si>
  <si>
    <t>Людвиков Дмитрий Евгеньевич, председатель</t>
  </si>
  <si>
    <t>Васильев Андрей Федорович</t>
  </si>
  <si>
    <t>Иванов Евгений Владимирович</t>
  </si>
  <si>
    <t>Ротэрмель Сергей Викторович</t>
  </si>
  <si>
    <t>Нечистовский Иван Григорьевич</t>
  </si>
  <si>
    <t>Шилов Геннадий Михайлович</t>
  </si>
  <si>
    <t>Шулбаев Андрей Кириллович</t>
  </si>
  <si>
    <t>Зинкевич Виктор Михайлович</t>
  </si>
  <si>
    <t>Мартынов Дмитрий Викторович</t>
  </si>
  <si>
    <t>Марфин Николай Николаевич</t>
  </si>
  <si>
    <t>Султонов Абдували Анварович</t>
  </si>
  <si>
    <t>Тимофеева Татьяна Матвеевна</t>
  </si>
  <si>
    <t>Ушаков Анатолий Анатольевич</t>
  </si>
  <si>
    <t>Аверьянов Д.П.</t>
  </si>
  <si>
    <t>Сухарев Василий Васильевич, глава кфх</t>
  </si>
  <si>
    <t>Гуров Денис Владимирович</t>
  </si>
  <si>
    <t xml:space="preserve">Ковалев Вадим Владимирович </t>
  </si>
  <si>
    <t>Костюнин Александр Борисович</t>
  </si>
  <si>
    <t>Красаков Владислав Иванович</t>
  </si>
  <si>
    <t>Мартынов Александр Викторович</t>
  </si>
  <si>
    <t>Рейтер Виктор Робертович</t>
  </si>
  <si>
    <t>Ротэрмель Александр Викторович</t>
  </si>
  <si>
    <t>Свищёва Валентина Ефимовна</t>
  </si>
  <si>
    <t>Тимофеева Зоя Владимировна</t>
  </si>
  <si>
    <t>Харкевич Нурия Шайхуловна</t>
  </si>
  <si>
    <t>Хромов К.Ю.</t>
  </si>
  <si>
    <t>Васильев Андрей Сергеевич, председатель</t>
  </si>
  <si>
    <t>Ильин Дмитрий Владимирович, председатель</t>
  </si>
  <si>
    <t>Арутюнян Есаи Азербекович, председатель</t>
  </si>
  <si>
    <t>Булгаков Сергей Викторович, председатель</t>
  </si>
  <si>
    <t>Аманбаев Марат Михайлович, председатель</t>
  </si>
  <si>
    <t>Павлова Татьяна Николаевна, председатель</t>
  </si>
  <si>
    <t>Сухарев Петр Васильевич, председатель</t>
  </si>
  <si>
    <t>Гусев Анатолий Владимирович, директор</t>
  </si>
  <si>
    <t>Рябцева Рафиса Хаматовна, директор</t>
  </si>
  <si>
    <t>Семенов Вячеслав Николаевич, председатель</t>
  </si>
  <si>
    <t>Чернышев Сергей Петрович, директор</t>
  </si>
  <si>
    <t>Фандо Борис Николаевич, директор</t>
  </si>
  <si>
    <t>Жуков Александр Октябревич,  директор</t>
  </si>
  <si>
    <t>Мерзляков Юрий Максимович, директор</t>
  </si>
  <si>
    <t>Иванов Игорь Юрьевич, директор</t>
  </si>
  <si>
    <t>Королев Александр Викторович, директор</t>
  </si>
  <si>
    <t>Оль Егор Егорович, директор</t>
  </si>
  <si>
    <t>Рехенберг Иван Александрович, директор</t>
  </si>
  <si>
    <t>Колупаев Александр Владимирович, директор</t>
  </si>
  <si>
    <t>Сычев Александр Станиславович, директор</t>
  </si>
  <si>
    <t xml:space="preserve">Исаев Игорь Валерьевич, директор                </t>
  </si>
  <si>
    <t>Шадрин Сергей Владимирович, генеральный директор</t>
  </si>
  <si>
    <t>Адашкин Анатолий Федорович, генеральный директор</t>
  </si>
  <si>
    <t>Бугачев Владимир Исакович, директор</t>
  </si>
  <si>
    <t>Быков Валерий Геннадьевич, генеральный директор</t>
  </si>
  <si>
    <t>Кадочников Виктор Анатольевич, директор</t>
  </si>
  <si>
    <t xml:space="preserve">Бугаев Александр Владимирович, управляющий </t>
  </si>
  <si>
    <t>Адашкин Дмитрий Анатольевич, генеральный директор</t>
  </si>
  <si>
    <t>Петросян Хорен Грачевич, директор</t>
  </si>
  <si>
    <t>Ибрагимов Пашша Сулейманович, генеральный директор</t>
  </si>
  <si>
    <t>Углов Владимир Демьянович, директор</t>
  </si>
  <si>
    <t>Адашкин Анатолий Федорович</t>
  </si>
  <si>
    <t>Баурин Максим Анатольевич</t>
  </si>
  <si>
    <t>Болсуновский А.И.</t>
  </si>
  <si>
    <t>Апанасенко Сергей Сергеевич</t>
  </si>
  <si>
    <t>Дубровный Андрей Николаевич</t>
  </si>
  <si>
    <t>Ерошин В.П.</t>
  </si>
  <si>
    <t>Ерошин В.В.</t>
  </si>
  <si>
    <t>Ерошина А.А.</t>
  </si>
  <si>
    <t>Похабов Валерий Федорович</t>
  </si>
  <si>
    <t>Ряжкин Игорь Михайлович</t>
  </si>
  <si>
    <t>Суетнов Виктор Владимирович</t>
  </si>
  <si>
    <t>Стариченко Людмила Ивановна</t>
  </si>
  <si>
    <t>Шумков Владимир Александрович</t>
  </si>
  <si>
    <t>Хачатрян О.Х.</t>
  </si>
  <si>
    <t>Меликбекян Артак Сергоевич</t>
  </si>
  <si>
    <t>Казарян Айказ Оганесович</t>
  </si>
  <si>
    <t>Дубровный Андрей Николаевич, председатель</t>
  </si>
  <si>
    <t>Калачев Владимир Петрович, директор</t>
  </si>
  <si>
    <t>2411008835</t>
  </si>
  <si>
    <t>243100011884</t>
  </si>
  <si>
    <t>246109447159</t>
  </si>
  <si>
    <t>Беспалов Николай Михайлович, генеральный директор</t>
  </si>
  <si>
    <t>Шаробаев Сергей Михайлович, директор</t>
  </si>
  <si>
    <t>Беспалов Николай Михайлович, директор</t>
  </si>
  <si>
    <t>Пакулев Андрей Владимирович, директор</t>
  </si>
  <si>
    <t>Алиев Азад Талыб Оглы</t>
  </si>
  <si>
    <t>Шаробаев Михаил Михайлович</t>
  </si>
  <si>
    <t>Конради Виктор Яковлевич, председатель</t>
  </si>
  <si>
    <t>Амелин Анатолий Дмитриевич, председатель</t>
  </si>
  <si>
    <t>Беспалов Николай Михайлович, председатель</t>
  </si>
  <si>
    <t>Федулов Юрий Игнатьевич, председатель</t>
  </si>
  <si>
    <t>Тетюхин Александр Николаевич, директор</t>
  </si>
  <si>
    <t>Филиппов Николай Петрович, директор</t>
  </si>
  <si>
    <t>Гончарова Нина Федоровна</t>
  </si>
  <si>
    <t>Евлампиев Иван Иванович</t>
  </si>
  <si>
    <t>Магеря Ольга Борисовна</t>
  </si>
  <si>
    <t>Катаев Афанасий Елиферьевич</t>
  </si>
  <si>
    <t>Кускашев Николай Дмитриевич</t>
  </si>
  <si>
    <t>Сафаров Башир Али Оглы</t>
  </si>
  <si>
    <t>Бондаренко Любовь Константиновна, директор</t>
  </si>
  <si>
    <t>Велькер Владимир Карлович, исполняющий обязанности директора</t>
  </si>
  <si>
    <t>Велькер Герман Карлович, директор</t>
  </si>
  <si>
    <t>Кяргин Виктор Иванович, директор</t>
  </si>
  <si>
    <t>Хохлов Геннадий Иванович, директор</t>
  </si>
  <si>
    <t>Маслак Виктор Иванович, директор</t>
  </si>
  <si>
    <t>Исаков Михаил Анатольевич, директор</t>
  </si>
  <si>
    <t>Баранов Юрий Александрович,  директор</t>
  </si>
  <si>
    <t>Азанов Виктор Александрович, директор</t>
  </si>
  <si>
    <t>Кармаев Валерий Васильевич, председатель</t>
  </si>
  <si>
    <t>Гесс Владимир Готфридович, председатель</t>
  </si>
  <si>
    <t>Митин Виталий Владимирович</t>
  </si>
  <si>
    <t>Морозов Иван Анатольевич</t>
  </si>
  <si>
    <t>Худеев Андрей Георгиевич</t>
  </si>
  <si>
    <t>Данилин Вячеслав Викторович, председатель</t>
  </si>
  <si>
    <t xml:space="preserve">Луенко Андрей Алексеевич,           директор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</si>
  <si>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Скоробогатова  Галина Михайловна, председатель</t>
  </si>
  <si>
    <t>Зеков Николай Александрович, председатель</t>
  </si>
  <si>
    <t>Жердева Ольга Владимировна, директор</t>
  </si>
  <si>
    <t>Шатрюк Наталия Григорьевна,  директор</t>
  </si>
  <si>
    <t>Гаффаров Рафиг Мамедбагир Оглы, директор</t>
  </si>
  <si>
    <t>Анохин Александр Анатольевич</t>
  </si>
  <si>
    <t>Беляшов Анатолий Александрович</t>
  </si>
  <si>
    <t>Мишуренко Александр Петрович</t>
  </si>
  <si>
    <t>Семенюк Андрей Валентинович</t>
  </si>
  <si>
    <t>Соседкин Сергей Иванович</t>
  </si>
  <si>
    <t>Корольков С.Г.</t>
  </si>
  <si>
    <t>Шилин Александр Степанович</t>
  </si>
  <si>
    <t>Камоцкий Александр Иванович, глава кфх</t>
  </si>
  <si>
    <t>Поносов Виталий Юрьевич, председатель</t>
  </si>
  <si>
    <t>Шкет Дмитрий Николаевич, глава кфх</t>
  </si>
  <si>
    <t>Шевченко Игорь Анатольевич, глава кфх</t>
  </si>
  <si>
    <t>Овчинникова Виктора Прокопьевича</t>
  </si>
  <si>
    <t>Шустеров Михаил Иванович, председатель</t>
  </si>
  <si>
    <t>Ильинов Геннадий Павлович, председатель</t>
  </si>
  <si>
    <t>Коротких Сергей Николаевич, директор</t>
  </si>
  <si>
    <t>Васильев Андрей Витальевич, директор</t>
  </si>
  <si>
    <t>Калашников Александр Михайлович, председатель</t>
  </si>
  <si>
    <t>Стась Виктор Николаевич, директор</t>
  </si>
  <si>
    <t>Хоменко Нина Александровна,  генеральный директор</t>
  </si>
  <si>
    <t>Каика Сергей Петрович, директор</t>
  </si>
  <si>
    <t>Вагнер Алла Александровна, генеральный директор</t>
  </si>
  <si>
    <t>Савин Николай Евгеньевич, председатель</t>
  </si>
  <si>
    <t>Архипов Андрей Николаевич</t>
  </si>
  <si>
    <t xml:space="preserve">Антонюк Валерий Иванович, председатель правления </t>
  </si>
  <si>
    <t>Богданов Евгений Владимирович</t>
  </si>
  <si>
    <t>Заводян Александр Михайлович</t>
  </si>
  <si>
    <t>Зайцева Людмила Владимировна</t>
  </si>
  <si>
    <t>Гузенков Михаил Иванович</t>
  </si>
  <si>
    <t>Каминская Ирина Владимировна, глава кфх</t>
  </si>
  <si>
    <t>Ковригин Александр Александрович</t>
  </si>
  <si>
    <t>Кононенко Евгений Николаевич</t>
  </si>
  <si>
    <t>Кулашков Владимир Иванович</t>
  </si>
  <si>
    <t>Малетин Роман Сергеевич</t>
  </si>
  <si>
    <t>Мирошниченко Михаил Сергеевич</t>
  </si>
  <si>
    <t>Митягин Николай Викторович</t>
  </si>
  <si>
    <t>Новоселов Сергей Владимирович</t>
  </si>
  <si>
    <t>Роглет Ольга Викторовна</t>
  </si>
  <si>
    <t>Калиниченко Владимир Владимирович</t>
  </si>
  <si>
    <t>Протасов Сергей Владимирович</t>
  </si>
  <si>
    <t>Шаров Владимир Владимирович</t>
  </si>
  <si>
    <t>241600272658</t>
  </si>
  <si>
    <t xml:space="preserve"> Шмидт Евгений Арнович</t>
  </si>
  <si>
    <t>Шустерова Оксана Александровна</t>
  </si>
  <si>
    <t>Виншу Валентина Николаевна, глава кх</t>
  </si>
  <si>
    <t>Недбайлов Александр Владимирович, глава кх "Озерное"</t>
  </si>
  <si>
    <t>Дорофеев Леонид Иванович, глава фх "Тюльпан"</t>
  </si>
  <si>
    <t>Иванов Геннадий Ефимович, глава кх</t>
  </si>
  <si>
    <t>Юдин Геннадий Васильевич, глава фх</t>
  </si>
  <si>
    <t>Жандоров Владимир Владимирович, председатель</t>
  </si>
  <si>
    <t>Рябова Валентина Васильевна, председатель</t>
  </si>
  <si>
    <t>Кизельман Александр Филиппович, глава кх</t>
  </si>
  <si>
    <t xml:space="preserve">Юдин Юрий Васильевич, глава фх </t>
  </si>
  <si>
    <t>Похильченко Леонид Александрович, глава кх</t>
  </si>
  <si>
    <t>Коростелев Николай Николаевич,   глава кх "Полюс"</t>
  </si>
  <si>
    <t>Пусева Лидия Сергеевна, глава кх</t>
  </si>
  <si>
    <t>Алексеев Александр Епифанович, директор</t>
  </si>
  <si>
    <t>Арндт Александр Андреевич, председатель</t>
  </si>
  <si>
    <t>Соломатова Гальсима Рахимзяновна</t>
  </si>
  <si>
    <t>Варыгин Михаил Александрович, глава кфх</t>
  </si>
  <si>
    <t>Алиев Маариф Бахрам.Оглы</t>
  </si>
  <si>
    <t>Горемыкин Владимир Валерьевич</t>
  </si>
  <si>
    <t>Мухутдинов Руслан Миннорович</t>
  </si>
  <si>
    <t>Сабиров Загртин Батталович</t>
  </si>
  <si>
    <t>Красношапко Александр Иванович, директор</t>
  </si>
  <si>
    <t>Креминский Николай Анатольевич, генеральный директор</t>
  </si>
  <si>
    <t>Каминский Леонид Борисович, генеральный   директор</t>
  </si>
  <si>
    <t>Кочнев Владимир Михайлович, директор</t>
  </si>
  <si>
    <t>Цуканов Сергей Андреевич, директор</t>
  </si>
  <si>
    <t xml:space="preserve">Левковский Евгений Николаевич, генеральный директор </t>
  </si>
  <si>
    <t>Соловьев Николай Владимирович, исп. директор</t>
  </si>
  <si>
    <t>Морозов Владимир Александрович, председатель</t>
  </si>
  <si>
    <t>Иглова Галина Валериевна, председатель</t>
  </si>
  <si>
    <t>Васильев Николай Яковлевич</t>
  </si>
  <si>
    <t>Манкевич Александр Иванович</t>
  </si>
  <si>
    <t>Юдин Владимир Иванович</t>
  </si>
  <si>
    <t>Белкин Юрий Андреевич</t>
  </si>
  <si>
    <t>Головко Ольга Валерьевна</t>
  </si>
  <si>
    <t>Дерлам Владимир Андреевич</t>
  </si>
  <si>
    <t>Дороденко Руслан Валентинович</t>
  </si>
  <si>
    <t>Дуюн Сергей Иванович</t>
  </si>
  <si>
    <t>Макаров Василий Алексеевич</t>
  </si>
  <si>
    <t>Морозов Николай Васильевич</t>
  </si>
  <si>
    <t>Соколов Валерий Александрович</t>
  </si>
  <si>
    <t>245009119402</t>
  </si>
  <si>
    <t>Ткаченко Иван Иванович</t>
  </si>
  <si>
    <t>Хрестин Александр Васильевич</t>
  </si>
  <si>
    <t>Шерманов Василий Николаевич</t>
  </si>
  <si>
    <t>Головко Вячеслав Валерьевич</t>
  </si>
  <si>
    <t>Дремов Юрий Валерьевич</t>
  </si>
  <si>
    <t>Ерошенко Ольга Владимировна</t>
  </si>
  <si>
    <t>Журавлев Анатолий Иванович</t>
  </si>
  <si>
    <t>Ильенко Ольга Владимировна</t>
  </si>
  <si>
    <t>Ткаченко  Артем Иванович</t>
  </si>
  <si>
    <t>Федоткин Александр Николаевич</t>
  </si>
  <si>
    <t>Шпаковский Иван Иванович, глава кх</t>
  </si>
  <si>
    <t>Шрейдер Карл Мельхиорович, глава кх</t>
  </si>
  <si>
    <t>Волков Иван Васильевич, глава кх</t>
  </si>
  <si>
    <t>Магурин Владимир Анатольевич, глава кх</t>
  </si>
  <si>
    <t>Белкин Юрий Васильевич, глава кх</t>
  </si>
  <si>
    <t>Махров Анатолий Иванович, глава кх</t>
  </si>
  <si>
    <t>Гостяева Мария Васильевна, председатель</t>
  </si>
  <si>
    <t>Клушин Иван Павлович, председатель</t>
  </si>
  <si>
    <t>Васильев Николай Никифорович, генеральный директор</t>
  </si>
  <si>
    <t>Иванов Дмитрий Васильевич</t>
  </si>
  <si>
    <t>Балтман Яна Оскаровна</t>
  </si>
  <si>
    <t>Брамман Иван Карлович</t>
  </si>
  <si>
    <t>Каткова Светлана Федоровна</t>
  </si>
  <si>
    <t>241900246000</t>
  </si>
  <si>
    <t>Кензап Николай Игнатьевич</t>
  </si>
  <si>
    <t>Абельтин Александр Рудольфович</t>
  </si>
  <si>
    <t>Винокуров Сергей Михайлович</t>
  </si>
  <si>
    <t>Дзязько Николай Равильевич</t>
  </si>
  <si>
    <t>Ильин Сергей Иванович</t>
  </si>
  <si>
    <t>Козлов Олег Васильевич</t>
  </si>
  <si>
    <t>Курносов Сергей Анатольевич</t>
  </si>
  <si>
    <t>Ребекин Николай Николаевич</t>
  </si>
  <si>
    <t>Немков Антон Александрович</t>
  </si>
  <si>
    <t>Тарасенко Юрий Александрович, глава кфх</t>
  </si>
  <si>
    <t>Тетюхина Татьяна Николаевна</t>
  </si>
  <si>
    <t>Новоселова Галина Алексеевна</t>
  </si>
  <si>
    <t>241901470702</t>
  </si>
  <si>
    <t>Черкасов Игорь Леонидович</t>
  </si>
  <si>
    <t>Васильев Николай Никифорович, глава кх</t>
  </si>
  <si>
    <t>Колесников Евгений Николаевич, председатель</t>
  </si>
  <si>
    <t>Иванов Иван Васильевич, председатель</t>
  </si>
  <si>
    <t>Грудцина Галина Геннадьевна, председатель</t>
  </si>
  <si>
    <t>Димитров Николай Васильевич, директор</t>
  </si>
  <si>
    <t>Улаев Виктор Анатольевич</t>
  </si>
  <si>
    <t>Сазонкина Екатерина Юрьевна</t>
  </si>
  <si>
    <t>Тагиев Рустам Яшар оглы, директор</t>
  </si>
  <si>
    <t>Штеле Александр Александрович, директор</t>
  </si>
  <si>
    <t>Школин Николай Григорьевич, директор</t>
  </si>
  <si>
    <t>Занин Владимир Александрович, исполнительный директор</t>
  </si>
  <si>
    <t>Островерхов Виктор Николаевич, председатель</t>
  </si>
  <si>
    <t>Ларина Светлана Филипповна, председатель</t>
  </si>
  <si>
    <t>Трубинская Анна Филипповна, председатель</t>
  </si>
  <si>
    <t>Лоренгель Александр Филиппович, председатель</t>
  </si>
  <si>
    <t>Видергольд Александр Эдуардович, председатель</t>
  </si>
  <si>
    <t>Бузунов Александр Иванович, председатель</t>
  </si>
  <si>
    <t>Ососков Валерий Михайлович, председатель</t>
  </si>
  <si>
    <t>Лютенко Евнений Александрович, директор</t>
  </si>
  <si>
    <t>Григорьев Владимир Михайлович, председатель</t>
  </si>
  <si>
    <t>Каунов Николай Эдемович, директор</t>
  </si>
  <si>
    <t>Молдованов Анатолий Леонидов, председатель</t>
  </si>
  <si>
    <t>Олейникова Ольга Александровна, директор</t>
  </si>
  <si>
    <t>Бендер Яков Викторович</t>
  </si>
  <si>
    <t>Лихтенвальд Александр Владимирович</t>
  </si>
  <si>
    <t>Аникин Владимир Деонисович</t>
  </si>
  <si>
    <t>Видергольд Юрий Эдуардович</t>
  </si>
  <si>
    <t>Гельвер Александр Оскарович</t>
  </si>
  <si>
    <t>Живанов Геннадий Васильевич</t>
  </si>
  <si>
    <t>Казаков Николай Васильевич</t>
  </si>
  <si>
    <t>Клименко Алексей Николаевич</t>
  </si>
  <si>
    <t>Клитченко Виктор Иванович</t>
  </si>
  <si>
    <t>Косицкий Валерий Анатольевич</t>
  </si>
  <si>
    <t xml:space="preserve">Кривохижа Валерий Николаевич </t>
  </si>
  <si>
    <t>Марьясова Светлана Владимировна</t>
  </si>
  <si>
    <t>Прокопенко Виктор Борисович</t>
  </si>
  <si>
    <t>Ремизов Петр Васильевич</t>
  </si>
  <si>
    <t>Соколов Александр Павлович</t>
  </si>
  <si>
    <t>Соколов Сергей Владимирович</t>
  </si>
  <si>
    <t>Школин Константин Анатольевич</t>
  </si>
  <si>
    <t>Школин Николай Степанович</t>
  </si>
  <si>
    <t>Земба Александр Данилович</t>
  </si>
  <si>
    <t>Миних Виктор Артурович</t>
  </si>
  <si>
    <t>Адейкин Николай Николаевич</t>
  </si>
  <si>
    <t>Игнатенко Александр Николаевич, председатель</t>
  </si>
  <si>
    <t>Иванова Валентина Романовна, председатель</t>
  </si>
  <si>
    <t>Петрова Надежда Викторовна, председатель</t>
  </si>
  <si>
    <t>Видергольд Юрий Эдуардович, председатель</t>
  </si>
  <si>
    <t>Черноухов Сергей Петрович, председатель</t>
  </si>
  <si>
    <t>Школин Николай Григорьевич, председатель</t>
  </si>
  <si>
    <t>Беляев Сергей Григорьевич, председатель</t>
  </si>
  <si>
    <t>Морозов Анатолий Петрович, председатель</t>
  </si>
  <si>
    <t>Ртищев Сергей Николаевич, директор</t>
  </si>
  <si>
    <t>Бирих Владимир Егорович, директор</t>
  </si>
  <si>
    <t>Турчанов Евгений Георгиевич, генеральный директор</t>
  </si>
  <si>
    <t>Занин Александр Александрович, генеральный директор</t>
  </si>
  <si>
    <t>Бирих Андрей Яковлевич, генеральный директор</t>
  </si>
  <si>
    <t>Юрковец Александр Владимирович, генеральный директор</t>
  </si>
  <si>
    <t>Лихоузов Олег Владимирович, генеральный директор</t>
  </si>
  <si>
    <t>Белоусов Владимир Иванович, генарльный директор</t>
  </si>
  <si>
    <t>Новиков Николай Николаевич, директор</t>
  </si>
  <si>
    <t>Артемьев Михаил Яковлевич, директор</t>
  </si>
  <si>
    <t>Конных Сергей Иванович, глава кх</t>
  </si>
  <si>
    <t>Никулин Сергей Николаевич, глава кх</t>
  </si>
  <si>
    <t>Стрельников Виктор Васильевич, глава фх</t>
  </si>
  <si>
    <t>Мухлынин Владимир Иванович</t>
  </si>
  <si>
    <t>Басаргин Александр Андреевич</t>
  </si>
  <si>
    <t>Толмачев Сергей Семенович, председатель</t>
  </si>
  <si>
    <t>2423012120</t>
  </si>
  <si>
    <t>Антонова Наталья Александровна, председатель</t>
  </si>
  <si>
    <t>Вохмин Сергей Михайлович, председатель</t>
  </si>
  <si>
    <t>Монш Андрей Андреевич, директор</t>
  </si>
  <si>
    <t>Докторук Павел Николаевич, директор</t>
  </si>
  <si>
    <t>Зеленков Александр Николаевич,  директор</t>
  </si>
  <si>
    <t>Гапанович Александр Анатольевич, генеральный директор</t>
  </si>
  <si>
    <t>Шевченко Сергей Леонидович, директор</t>
  </si>
  <si>
    <t>Бублик Николай Иванович, генеральный директор</t>
  </si>
  <si>
    <t>Шелегова Людмила Викторовна, генеральный директор</t>
  </si>
  <si>
    <t>Кондратьев Игорь Михайлович, директор</t>
  </si>
  <si>
    <t>Вагнер Александр Карлович</t>
  </si>
  <si>
    <t>Герасимов Олег Васильевич</t>
  </si>
  <si>
    <t>Климкин Владимир Иванович</t>
  </si>
  <si>
    <t>Кузьмин Юрий Александрович</t>
  </si>
  <si>
    <t>Кайвомага Павел Николаевич</t>
  </si>
  <si>
    <t>Артюшина Светлана Ивановна</t>
  </si>
  <si>
    <t>242400075929</t>
  </si>
  <si>
    <t>Донзаленко Сергей Петрович</t>
  </si>
  <si>
    <t>Кирдяшкин Василий Иванович</t>
  </si>
  <si>
    <t>Ковалев Борис Васильевич</t>
  </si>
  <si>
    <t>Тарнакин Иван Петрович</t>
  </si>
  <si>
    <t>Асабин Николай Халилович</t>
  </si>
  <si>
    <t>Янькова Татьяна Павловна, председатель</t>
  </si>
  <si>
    <t>Зеленков Александр Николаевич, председатель</t>
  </si>
  <si>
    <t>Бублик Иван Иванович, председатель</t>
  </si>
  <si>
    <t>Шахова Лариса Ивановна, директор Шахов Александр Павлович</t>
  </si>
  <si>
    <t>Давыдова Ольга Зиновеевна, директор</t>
  </si>
  <si>
    <t>Печенкин Александр Васильевич, председатель</t>
  </si>
  <si>
    <t>Медведев Игорь Александрович, генеральный директор</t>
  </si>
  <si>
    <t>Смыкова Татьяна Кирилловна, директор</t>
  </si>
  <si>
    <t>Аржаков Владимир Михайлович, директор</t>
  </si>
  <si>
    <t>Морозов Василий Петрович, генеральный директор</t>
  </si>
  <si>
    <t>Резников Сергей Николаевич, директор</t>
  </si>
  <si>
    <t>Норкин Евгений Викторович, директор</t>
  </si>
  <si>
    <t>Колединова Ольга Владимировна, директор</t>
  </si>
  <si>
    <t>Сафронов Роман Сергеевич, генеральный директор</t>
  </si>
  <si>
    <t>Клявзер Виктор Петрович, директор</t>
  </si>
  <si>
    <t>Шикирюк Анна Тимофеевна, директор</t>
  </si>
  <si>
    <t>Норкин Виктор Терентьевич, председатель</t>
  </si>
  <si>
    <t>Сильченко Петр Петрович,   председатель</t>
  </si>
  <si>
    <t>Морозов Николай Николаевич, директор</t>
  </si>
  <si>
    <t>Капанадзе Гоча Иванович, директор</t>
  </si>
  <si>
    <t>Апранович Наталья Владимировна</t>
  </si>
  <si>
    <t>Голубев Андрей Кимович</t>
  </si>
  <si>
    <t>Литвинов Владимир Юрьевич</t>
  </si>
  <si>
    <t>Нефедов Сергей Викторович</t>
  </si>
  <si>
    <t xml:space="preserve">Фроленко Олег Сергеевич </t>
  </si>
  <si>
    <t>Фролов Евгений Николаевич</t>
  </si>
  <si>
    <t>Епифанов Анатолий Александрович</t>
  </si>
  <si>
    <t>Клявзер Раиса Степановна</t>
  </si>
  <si>
    <t>Макарчук Сергей Адамович</t>
  </si>
  <si>
    <t>245506284942</t>
  </si>
  <si>
    <t>Мартыненко Галина Арсентьевна, глава кфх</t>
  </si>
  <si>
    <t>190104607223</t>
  </si>
  <si>
    <t>Морозов Василий Иванович</t>
  </si>
  <si>
    <t>Норкина Елена Викторовна</t>
  </si>
  <si>
    <t>Романенко Александр Иванович</t>
  </si>
  <si>
    <t>Савин Александр Владимирович</t>
  </si>
  <si>
    <t>Семенов Анатолий Андреевич</t>
  </si>
  <si>
    <t>Смирнов Владимир Михайлович</t>
  </si>
  <si>
    <t>Сотникова Раиса Махайлова</t>
  </si>
  <si>
    <t>Терещенко Геннадий Николаевич</t>
  </si>
  <si>
    <t>Торгашин Гавриил Михайлович</t>
  </si>
  <si>
    <t>Травинский Петр Петрович</t>
  </si>
  <si>
    <t>Тютюкин Владимир Александрович</t>
  </si>
  <si>
    <t>Че-киль-лог Андрей Викторович</t>
  </si>
  <si>
    <t>Хамуха Екатерина Юрьевна</t>
  </si>
  <si>
    <t>Анохин Сергей Анатольевич</t>
  </si>
  <si>
    <t>245502563416</t>
  </si>
  <si>
    <t>Гусев Андрей Витальевич</t>
  </si>
  <si>
    <t>Мусаев Байрам Джангир оглы</t>
  </si>
  <si>
    <t>Печенкин Александр Васильевич</t>
  </si>
  <si>
    <t>Смирнова Наталья Владимировна</t>
  </si>
  <si>
    <t>Хамуха Николай Николаевич</t>
  </si>
  <si>
    <t>Сафронов Сергей Павлович, председатель</t>
  </si>
  <si>
    <t>Анохин Сергей Анатольевич, председатель</t>
  </si>
  <si>
    <t>Медведев Игорь Александрович, председатель</t>
  </si>
  <si>
    <t>Морозов Василий Петрович, председатель</t>
  </si>
  <si>
    <t>Ромашкина Галина Федоровна, председатель</t>
  </si>
  <si>
    <t>Асочаков Андрей Серафимович, генеральный директор</t>
  </si>
  <si>
    <t>Кулаков Александр Демидович, начальник</t>
  </si>
  <si>
    <t>Ходырев Дмитрий Петрович, ген.директор</t>
  </si>
  <si>
    <t>2455028204</t>
  </si>
  <si>
    <t>2455022273</t>
  </si>
  <si>
    <t>Зуев Виктор Валентинович, глава кфх</t>
  </si>
  <si>
    <t>Поваренкин Юрий Иванович, директор</t>
  </si>
  <si>
    <t>Авходеев Нафис Ханович, генеральный директор</t>
  </si>
  <si>
    <t xml:space="preserve">Судаков Сергей Викторович,  директор </t>
  </si>
  <si>
    <t>Погорелов Вячеслав Романович, директор</t>
  </si>
  <si>
    <t>Евсеенко Сергей Викторович, директор</t>
  </si>
  <si>
    <t>Исаев Валерий Андреевич, директор</t>
  </si>
  <si>
    <t>Скрипников Сергей Петрович,  директор</t>
  </si>
  <si>
    <t>Бахтин Максим Петрович, директор</t>
  </si>
  <si>
    <t>Хованский Сергей Викторович, генеральный директор</t>
  </si>
  <si>
    <t>Афанасьева Ольга Юрьевна, директор</t>
  </si>
  <si>
    <t>Колчанов Юрий Петрович</t>
  </si>
  <si>
    <t>Кузьмин Демид Васильевич</t>
  </si>
  <si>
    <t>Багдасарян Багдасар Анушаванович</t>
  </si>
  <si>
    <t>Шумилова Наталья Павловна, председатель</t>
  </si>
  <si>
    <t>Третьякова Инна Анатольевна, председатель</t>
  </si>
  <si>
    <t>2456012302</t>
  </si>
  <si>
    <t>245688932144</t>
  </si>
  <si>
    <t>245660045199</t>
  </si>
  <si>
    <t>Гуцев Виктор Юрьевич</t>
  </si>
  <si>
    <t>Калинин Артем Геннадьевич</t>
  </si>
  <si>
    <t>Рождественский Николай Петрович</t>
  </si>
  <si>
    <t>Слотин Евгений Юрьевич</t>
  </si>
  <si>
    <t>Халилов Курбанали Сейдами-оглы</t>
  </si>
  <si>
    <t>Захаренко Владимир Васильевич</t>
  </si>
  <si>
    <t>Сугоняко Марина Оскаровна, директор</t>
  </si>
  <si>
    <t>Бегларян Сос Азатович, директор</t>
  </si>
  <si>
    <t>Дятко Нина Семеновна, директор</t>
  </si>
  <si>
    <t>Лузан Владимир Григорьевич, председатель</t>
  </si>
  <si>
    <t>Букоткина Ольга Анатольевна, директор</t>
  </si>
  <si>
    <t>Ярмош Николай Геннадьевич, генеральный директор</t>
  </si>
  <si>
    <t>Моторин Владимир Иванович, начальник</t>
  </si>
  <si>
    <t>2428000591</t>
  </si>
  <si>
    <t>Деветяриков Владимир Николаевич, председатель</t>
  </si>
  <si>
    <t>Макаров Михаил Алексеевич, председатель</t>
  </si>
  <si>
    <t>Рубцов Сергей Дмитриевич, директор</t>
  </si>
  <si>
    <t>Климко Игорь Петрович, директор</t>
  </si>
  <si>
    <t>Филипов Пётр Спиридонович, генеральный директор</t>
  </si>
  <si>
    <t>Тушин Александр Егорович, директор</t>
  </si>
  <si>
    <t>Летников Михаил Иванович, директор</t>
  </si>
  <si>
    <t>Королев Евгений Юрьевич, директор</t>
  </si>
  <si>
    <t>Иордан Алексей Алексеевич, директор</t>
  </si>
  <si>
    <t>Серебрякова Елена Викторовна, директор</t>
  </si>
  <si>
    <t>Кулаков Олег Николаевич</t>
  </si>
  <si>
    <t>Анциферов Владимир Николаевич</t>
  </si>
  <si>
    <t>Анциферов Иван Иванович</t>
  </si>
  <si>
    <t>Анциферов Сергей Николаевич</t>
  </si>
  <si>
    <t>Белякин Владимир Николаевич</t>
  </si>
  <si>
    <t>Брух Виктор Андреевич</t>
  </si>
  <si>
    <t>Вавилова Татьяна Николаевна</t>
  </si>
  <si>
    <t>Вензель Андрей Эйволдович</t>
  </si>
  <si>
    <t>Виндерголлер Андрей Эвальдович</t>
  </si>
  <si>
    <t>Владимиров Виталий Александрович</t>
  </si>
  <si>
    <t>Гаврилов А.В.</t>
  </si>
  <si>
    <t>Гадальшин Рафаиль Равилович</t>
  </si>
  <si>
    <t>Глушаков Анатолий Васильевич</t>
  </si>
  <si>
    <t>Горн Виктор Иванович</t>
  </si>
  <si>
    <t>Демидов Сергей Петрович</t>
  </si>
  <si>
    <t>Евдокимов Николай Николаевич</t>
  </si>
  <si>
    <t>Зайберт Александр Карлович</t>
  </si>
  <si>
    <t>Зубарев Виктор Васильевич</t>
  </si>
  <si>
    <t>Игнатенко Николай Федорович</t>
  </si>
  <si>
    <t>Илюшенко Галина Яковлевна</t>
  </si>
  <si>
    <t>Иордан Иван Викторович</t>
  </si>
  <si>
    <t>Кайдалин Евгений Васильевич</t>
  </si>
  <si>
    <t>Козелепов Анатолий Дмитриевич</t>
  </si>
  <si>
    <t>Корнаков Иван Геннадьевич</t>
  </si>
  <si>
    <t>Кохан Николай Михайлович</t>
  </si>
  <si>
    <t>Кроневальд Наталья Николаевна</t>
  </si>
  <si>
    <t>Любавин Валерий Геннадьевич</t>
  </si>
  <si>
    <t>Майер Александр Эйвальдович</t>
  </si>
  <si>
    <t>Маурер Сергей Александрович</t>
  </si>
  <si>
    <t>Медведев Василий Валерьевич</t>
  </si>
  <si>
    <t>Медведев Юрий Сергеевич</t>
  </si>
  <si>
    <t>Медведчук Анатолий Алексеевич</t>
  </si>
  <si>
    <t>Миськов Николай Дмитриевич</t>
  </si>
  <si>
    <t>Михайлов Александр Сергеевич</t>
  </si>
  <si>
    <t>Монахин Юрий Михайлович</t>
  </si>
  <si>
    <t>Орлов Виталий Александрович</t>
  </si>
  <si>
    <t>Полежаева Наталья Александровна</t>
  </si>
  <si>
    <t>Распопин Константин Викторович</t>
  </si>
  <si>
    <t>Соломатов Андрей Михайлович</t>
  </si>
  <si>
    <t>Хутиев Вадим Бамятгириевич</t>
  </si>
  <si>
    <t>Цыглимов Александр Семенович</t>
  </si>
  <si>
    <t>Цыглимов Анатолий Семенович</t>
  </si>
  <si>
    <t>Цыглимов Семен Анатольевич</t>
  </si>
  <si>
    <t>Чепурной Виктор Викторович</t>
  </si>
  <si>
    <t>Шалько Андрей Николаевич</t>
  </si>
  <si>
    <t>Швейцер Владимир Рихгардтович</t>
  </si>
  <si>
    <t>Щербаков Анатолий Васильевич</t>
  </si>
  <si>
    <t>Шуряков Николай Иванович, директор</t>
  </si>
  <si>
    <t>Нгуен Минь Туан, директор</t>
  </si>
  <si>
    <t>Суворов Алексей Алексеевич, директор</t>
  </si>
  <si>
    <t>Баранов Николай Петрович</t>
  </si>
  <si>
    <t>Кальбин Федор Владимирович</t>
  </si>
  <si>
    <t>Канищев Александр Иванович</t>
  </si>
  <si>
    <t>Козлов Сергей Алексеевич</t>
  </si>
  <si>
    <t>Колкатинов Юрий Владимирович</t>
  </si>
  <si>
    <t>Лапехо Алексей Викторович</t>
  </si>
  <si>
    <t>Радионов Сергей Николаевич</t>
  </si>
  <si>
    <t>Сапронов Юрий Алексеевич</t>
  </si>
  <si>
    <t>Мухаметшин Вагиз Харисович</t>
  </si>
  <si>
    <t>Тахавеев Ахмат Габдулхатович, директор</t>
  </si>
  <si>
    <t>Егоров Виктор Андреевич, директор</t>
  </si>
  <si>
    <t>Михайлов Сергей Николаевич, директор</t>
  </si>
  <si>
    <t>Галеев Наиль Файзрахманович,  директор</t>
  </si>
  <si>
    <t>Абдулин Рашид Альмухаметович, генеральный директор</t>
  </si>
  <si>
    <t>Сафин Зуфар Наилович</t>
  </si>
  <si>
    <t>Катюхина Любовь Николаевна, председатель</t>
  </si>
  <si>
    <t>Маканов Муктар Каиржанович, председатель</t>
  </si>
  <si>
    <t>Аминаев Вазир Вагизович, председатель</t>
  </si>
  <si>
    <t>Барабан Сергей Николаевич, генеральный директор</t>
  </si>
  <si>
    <t>Сорочкин Сергей Прокопьевич, генеральный директор</t>
  </si>
  <si>
    <t>Мирошниченко Владимир Иванович, председатель</t>
  </si>
  <si>
    <t>Энгель Яков Яковлевич, директор</t>
  </si>
  <si>
    <t>Шевель Юлия Юрьевна,                директор</t>
  </si>
  <si>
    <t>Кондрус Игорь Григорьевич, директор</t>
  </si>
  <si>
    <t>Вильде Эльмар Мейнхардович, директор</t>
  </si>
  <si>
    <t>Минасян Тигран Папинович, директор</t>
  </si>
  <si>
    <t>Гезелиус А.А.</t>
  </si>
  <si>
    <t>Иванников Александр Артемович</t>
  </si>
  <si>
    <t>Иванов Александр Николаевич</t>
  </si>
  <si>
    <t>Киселев Михаил Александрович</t>
  </si>
  <si>
    <t>Кокарев Александр Анатольевич</t>
  </si>
  <si>
    <t>Косовицкий Петр Павлович</t>
  </si>
  <si>
    <t>Куприянов Максим Анатольевич</t>
  </si>
  <si>
    <t>Курбанов Олег Витальевич</t>
  </si>
  <si>
    <t>Николаев Александр Николаевич</t>
  </si>
  <si>
    <t>Семененко Вадим Иванович</t>
  </si>
  <si>
    <t>Семененко Виктор Иванович</t>
  </si>
  <si>
    <t>Скобелин Андрей Семенович</t>
  </si>
  <si>
    <t>Соколов Петр Константинович</t>
  </si>
  <si>
    <t>Фарманов Диер Абдумурадович</t>
  </si>
  <si>
    <t>Халбабаев Борис Владимирович</t>
  </si>
  <si>
    <t>Степаненко Валерий Алексеевич</t>
  </si>
  <si>
    <t>Тандыков Александр Григорьевич, председатель</t>
  </si>
  <si>
    <t>Шевель Юлия Юрьевна, председатель</t>
  </si>
  <si>
    <t>Антонов Иван Александрович, директор</t>
  </si>
  <si>
    <t>Данцев Алексей Павлович, директор</t>
  </si>
  <si>
    <t>Йовенко Василий Васильевич, директор</t>
  </si>
  <si>
    <t>Никитин Александр Викторович, генеральный директор</t>
  </si>
  <si>
    <t>Андропов Николай Иванович, директор</t>
  </si>
  <si>
    <t>Шлютгавер Вячеслав Егорович, директор</t>
  </si>
  <si>
    <t xml:space="preserve">Дьяков Сергей Александрович, директор                  </t>
  </si>
  <si>
    <t>Семенов Алексей Анатольевич, директор</t>
  </si>
  <si>
    <t>Антонов Михаил Иванович      директор</t>
  </si>
  <si>
    <t>Солдатов Евгений Михайлович,  директор</t>
  </si>
  <si>
    <t>Яровой Александр Дмитриевич, директор</t>
  </si>
  <si>
    <t>Ващекина Татьяна Алексеевна</t>
  </si>
  <si>
    <t>243300935403</t>
  </si>
  <si>
    <t>Хиляс Алексей Александрович</t>
  </si>
  <si>
    <t>Хиляс Александр Александрович</t>
  </si>
  <si>
    <t>Черкасов Владимир Михайлович</t>
  </si>
  <si>
    <t>Степанченок Николай Тимофеевич</t>
  </si>
  <si>
    <t>Андропов Иван Иванович</t>
  </si>
  <si>
    <t>Иванов Альберт Валерианович</t>
  </si>
  <si>
    <t>Демин Виталий Васильевич, председатель</t>
  </si>
  <si>
    <t>Солдатов Евгений Михайлович, председатель</t>
  </si>
  <si>
    <t>Козлов Василий Васильевич, председатель</t>
  </si>
  <si>
    <t>Окунев Сергей Егорович, директор</t>
  </si>
  <si>
    <t>Домнин Игорь Анатольевич, генеральный директор</t>
  </si>
  <si>
    <t>Губанов Александр Николаевич, генеральный директор</t>
  </si>
  <si>
    <t>Васяева С.А., председатель</t>
  </si>
  <si>
    <t>Влиско Михаил Викторович, директор</t>
  </si>
  <si>
    <t>Виноградов Николай Павлович, директор</t>
  </si>
  <si>
    <t>Кропов Александр Ионович, директор</t>
  </si>
  <si>
    <t>Саитов Михаил Иванович, председатель</t>
  </si>
  <si>
    <t>Сафиров Александр Владимирович, директор</t>
  </si>
  <si>
    <t>2435006330</t>
  </si>
  <si>
    <t>Боровлев Андрей Алексеевич</t>
  </si>
  <si>
    <t>Ващенко Александр Николаевич</t>
  </si>
  <si>
    <t>Сидоренко Елена Андреевна</t>
  </si>
  <si>
    <t>Бельтепетеров Василий Анатольевич</t>
  </si>
  <si>
    <t>Молотков Андрей Николаевич</t>
  </si>
  <si>
    <t>Молотков Владимир Николаевич</t>
  </si>
  <si>
    <t>Тамирова Амила Алы Кызы</t>
  </si>
  <si>
    <t>Фукс Андрей Иоганович</t>
  </si>
  <si>
    <t>Боровлев Сергей Алексеевич</t>
  </si>
  <si>
    <t>Старцев Олег Владимирович</t>
  </si>
  <si>
    <t>Яворовский Сергей Алекандрович</t>
  </si>
  <si>
    <t>Кочнев Александр Лаврентьевич, глава кх</t>
  </si>
  <si>
    <t>Молотков Сергей Николаевич, глава кх</t>
  </si>
  <si>
    <t>Яковлев Анатолий Михайлович, глава кх</t>
  </si>
  <si>
    <t>Потапкина Татьяна Михайловна, председатель</t>
  </si>
  <si>
    <t>2464102550</t>
  </si>
  <si>
    <t xml:space="preserve">Войтюк Леонид Александрович  </t>
  </si>
  <si>
    <t>Гаврин Валерий Васильевич</t>
  </si>
  <si>
    <t xml:space="preserve">Фроленко Владимир Федорович   </t>
  </si>
  <si>
    <t>Алексеев Михаил Васильевич</t>
  </si>
  <si>
    <t>Боровков Михаил Иванович</t>
  </si>
  <si>
    <t>Машуков Алексей Александрович</t>
  </si>
  <si>
    <t>Сладченко Александр Федорович</t>
  </si>
  <si>
    <t>Блохин Владимир Васильевич</t>
  </si>
  <si>
    <t xml:space="preserve">Есин Игорь Федорович </t>
  </si>
  <si>
    <t>Филиппов Николай Дмитриевич</t>
  </si>
  <si>
    <t>Апанасов Виктор Васильевич, директор</t>
  </si>
  <si>
    <t>Якубович Владимир Петрович, директор</t>
  </si>
  <si>
    <t>Карпутов Николай Иванович</t>
  </si>
  <si>
    <t>Дизендорф Константин Константинович,  директор</t>
  </si>
  <si>
    <t>Роот Андрей Викторович, директор</t>
  </si>
  <si>
    <t>Приеде Юрий Гунарович, председатель</t>
  </si>
  <si>
    <t>Осипенко Василий Николаевич,  председатель</t>
  </si>
  <si>
    <t>Савостьянов Виктор Александрович, председатель</t>
  </si>
  <si>
    <t>Боргояков Михаил Павлович, председатель</t>
  </si>
  <si>
    <t>Марков Иван Петрович, директор</t>
  </si>
  <si>
    <t>Левицкий Михаил Петрович, председатель</t>
  </si>
  <si>
    <t>Михневич Виктор Алексеевич,  директор</t>
  </si>
  <si>
    <t>Ажаров Виктор Анатольевич</t>
  </si>
  <si>
    <t>Баранов Николай Иванович</t>
  </si>
  <si>
    <t>Ермолаев Юрий Анатольевич</t>
  </si>
  <si>
    <t>Зинович Виктор Константинович</t>
  </si>
  <si>
    <t>Павлов Николай Константинович</t>
  </si>
  <si>
    <t>Талаев Михаил Иванович</t>
  </si>
  <si>
    <t xml:space="preserve"> Тихонов Виктор Александрович</t>
  </si>
  <si>
    <t>Яковлев Сергей Михайлович</t>
  </si>
  <si>
    <t>Якищик Анатолий Александрович</t>
  </si>
  <si>
    <t>Михневич Виктор Алексеевич, глава кфх "Мельничное"</t>
  </si>
  <si>
    <t>Базаров Андрей Олегович, генеральный директор</t>
  </si>
  <si>
    <t>Семенов Олег Дмитриевич, председатель</t>
  </si>
  <si>
    <t>Военбендер Владимир Эдуардович, директор</t>
  </si>
  <si>
    <t>Толстиков Сергей Юрьевич, директор</t>
  </si>
  <si>
    <t>Мельниченко Борис Владимирович, директор</t>
  </si>
  <si>
    <t>Ланин Виктор Алексеевич, директор</t>
  </si>
  <si>
    <t>Езерский Сергей Александрович, директор</t>
  </si>
  <si>
    <t>Мартынова Татьяна Алексеевна, директор</t>
  </si>
  <si>
    <t>Костяева Валентина Ивановна, директор</t>
  </si>
  <si>
    <t>Военбендер Татьяна Васильевна, генеральный директор</t>
  </si>
  <si>
    <t>Галимов Рафаиль Хуснулгатович, председатель</t>
  </si>
  <si>
    <t>Шуваров Вячеслав Евгеньевич, ген.директор</t>
  </si>
  <si>
    <t>Бесолов Ахсарбек Музаферович</t>
  </si>
  <si>
    <t>Тихонов Николай Петрович</t>
  </si>
  <si>
    <t>Черемных Александр Карпович</t>
  </si>
  <si>
    <t>Агламзянов Сергей Борисович</t>
  </si>
  <si>
    <t>Агламзянов Александр Сергеевич</t>
  </si>
  <si>
    <t>Бацагин Евгений Николаевич</t>
  </si>
  <si>
    <t>Бредихин Сергей Владимирович</t>
  </si>
  <si>
    <t>Бугорков Дмитрий  Анатольевич</t>
  </si>
  <si>
    <t>Дробушевский Иван Иванович</t>
  </si>
  <si>
    <t>Калугин Олег Ефимович</t>
  </si>
  <si>
    <t>Макеев Николай Павлович</t>
  </si>
  <si>
    <t>Низамутдинов Ильяс Фархутдинович</t>
  </si>
  <si>
    <t>Посконный Валерий Александрович</t>
  </si>
  <si>
    <t>Рузавин Максим Николаевич</t>
  </si>
  <si>
    <t>Афанасьев Андрей Анатольевич</t>
  </si>
  <si>
    <t>Полуситов Михаил Михайлович</t>
  </si>
  <si>
    <t xml:space="preserve">Гречихин Федор Павлович, глава кх        </t>
  </si>
  <si>
    <t>Колесников Александр Николаевич, директор</t>
  </si>
  <si>
    <t>2439000931</t>
  </si>
  <si>
    <t>Перфилов Сергей Николаевич, директор</t>
  </si>
  <si>
    <t>Косых Валерий Алексеевич, директор</t>
  </si>
  <si>
    <t>Апонасенко Василий Николаевич, директор</t>
  </si>
  <si>
    <t>Анисимов Сергей Анатольевич, директор</t>
  </si>
  <si>
    <t>Лебедев Александр Михайлович, директор</t>
  </si>
  <si>
    <t>Андреянов Андрей Юрьевич, директор</t>
  </si>
  <si>
    <t>Ковалев Дмитрий Васильевич, директор</t>
  </si>
  <si>
    <t>Пустогородский Александр Геннадьевич, директор</t>
  </si>
  <si>
    <t>Резников Алексей Иванович, директор</t>
  </si>
  <si>
    <t>Соломатов Сергей Николаевич, директор</t>
  </si>
  <si>
    <t>Рябенко Сергей Сергеевич, директор</t>
  </si>
  <si>
    <t>Донских Николай Васильевич, директор</t>
  </si>
  <si>
    <t>Мартынюк Владимир Владимирович, директор</t>
  </si>
  <si>
    <t>Рябенко Антон Сергеевич, директор</t>
  </si>
  <si>
    <t>Савинкин Сергей Павлович, директор</t>
  </si>
  <si>
    <t>Кучеров Владимир Николаевич</t>
  </si>
  <si>
    <t>Наконечный Сергей Владимирович</t>
  </si>
  <si>
    <t>Глущенко Вячеслав Михайлович</t>
  </si>
  <si>
    <t>Бака Ирина Леонидовна, исполнительный директор</t>
  </si>
  <si>
    <t>Косых Валерий Алексеевич, председатель</t>
  </si>
  <si>
    <t>Исмагилов Халиль Ширеевич, председатель</t>
  </si>
  <si>
    <t>Аветисян Артур Самвелович, директор</t>
  </si>
  <si>
    <t>2440000686</t>
  </si>
  <si>
    <t>Кушкин Сергей Александрович, директор</t>
  </si>
  <si>
    <t>Михно Николай Сергеевич, генеральный директор</t>
  </si>
  <si>
    <t>Березинский Николай Сидорович,  генеральный директор</t>
  </si>
  <si>
    <t>Панасюк Юрий Владимирович, генеральный директор</t>
  </si>
  <si>
    <t>Быбина Нэлли Юрьевна, генеральный директор</t>
  </si>
  <si>
    <t>Бондаренко Сергей Николаевич, председатель</t>
  </si>
  <si>
    <t>Ахтямов Шамиль Шарибзянович</t>
  </si>
  <si>
    <t>Багиров Агиль нуру Оглы</t>
  </si>
  <si>
    <t>Горбачев Сергей Юрьевич</t>
  </si>
  <si>
    <t>Тонких Жанна Владимировна</t>
  </si>
  <si>
    <t>фремов Николай Николаевич</t>
  </si>
  <si>
    <t>Никитин Виктор Николаевич</t>
  </si>
  <si>
    <t>Рапана Константин Иванович</t>
  </si>
  <si>
    <t>Руднев Анатолий Степанович</t>
  </si>
  <si>
    <t>Гасанов Интигам Адиль Оглы</t>
  </si>
  <si>
    <t>Нестеренко Ирина Владимировна, генеральный директор</t>
  </si>
  <si>
    <t>Дмитриева Людмила Александровна, председатель</t>
  </si>
  <si>
    <t>Прокопив Василий Федорович, председатель</t>
  </si>
  <si>
    <t>Рахимова Надежда Витальевна, председатель</t>
  </si>
  <si>
    <t>Михно Николай Сергеевич, председатель</t>
  </si>
  <si>
    <t>Оноприенко Максим Александрович, генеральный директор</t>
  </si>
  <si>
    <t>Криндаль Олег Анатольевич, генеральный директор</t>
  </si>
  <si>
    <t>Фадеев Сергей Викторович, директор</t>
  </si>
  <si>
    <t>Шорохов Геннадий Николаевич, директор</t>
  </si>
  <si>
    <t>Зуев Евгений Викторович, директор</t>
  </si>
  <si>
    <t>Исаков Вячеслав Николаевич</t>
  </si>
  <si>
    <t>Балезин Валерий Александрович</t>
  </si>
  <si>
    <t>Бахтин Денис Сергеевич</t>
  </si>
  <si>
    <t>Белышев Валерий Викторович</t>
  </si>
  <si>
    <t>Бикеев Александр Васильевич</t>
  </si>
  <si>
    <t>Шорохов Геннадий Николаевич</t>
  </si>
  <si>
    <t>Спирин Николай Васильевич</t>
  </si>
  <si>
    <t>Светлолобов Николай Борисович</t>
  </si>
  <si>
    <t>Чернов Владимир Павлович</t>
  </si>
  <si>
    <t>Лебедев Вадим Юрьевич</t>
  </si>
  <si>
    <t>Калицкий Александр Петрович, глава кфх</t>
  </si>
  <si>
    <t>Фадеев Сергей Викторович, глава кфх</t>
  </si>
  <si>
    <t>Радченко Любовь Васильевна, глава кфх</t>
  </si>
  <si>
    <t>Аристов Андрей Геннадьевич, глава кфх</t>
  </si>
  <si>
    <t>Дятлов Евгений Васильевич, глава кфх</t>
  </si>
  <si>
    <t>Дятлов Евгений Васильевич, председатель</t>
  </si>
  <si>
    <t>Останина Виктория Валерьевна, председатель</t>
  </si>
  <si>
    <t>Левицкий Валерий Анатольевич, генеральный директор</t>
  </si>
  <si>
    <t>Казанцев Владимир Иванович, генеральный директор</t>
  </si>
  <si>
    <t>2466073336</t>
  </si>
  <si>
    <t>Омельченко Сергей Николаевич, директор</t>
  </si>
  <si>
    <t>2465234615</t>
  </si>
  <si>
    <t>Фученко Наталья Михайловна</t>
  </si>
  <si>
    <t>Петровский Николай Владимирович, директор</t>
  </si>
  <si>
    <t>Макаров Виктор Петрович, директор</t>
  </si>
  <si>
    <t>Пономарев Сергей Викторович, председатель</t>
  </si>
  <si>
    <t>Бахтин Андрей Анатольевич, директор</t>
  </si>
  <si>
    <t>Матяш Сергей Викторович, генеральный директор</t>
  </si>
  <si>
    <t>Цыганкова Любовь Михайловна, генеральный директор</t>
  </si>
  <si>
    <t>Шилов Леонид Геннадьевич, председатель</t>
  </si>
  <si>
    <t>Тихонов Сергей Васильевич, директор</t>
  </si>
  <si>
    <t>Белунова Галина Павловна, директор</t>
  </si>
  <si>
    <t>Гращенков Дмитрий Михайлович, генеральный директор</t>
  </si>
  <si>
    <t>Рикмасов Олег Витальевич, директор</t>
  </si>
  <si>
    <t>Миллер Виктор Викторович, директор</t>
  </si>
  <si>
    <t>Юталов Андрей Александрович, директор</t>
  </si>
  <si>
    <t>Беспалов Андрей Владимирович, директор</t>
  </si>
  <si>
    <t>Вернер Константин Арнольдович, начальник</t>
  </si>
  <si>
    <t>2458000493</t>
  </si>
  <si>
    <t>3445112681</t>
  </si>
  <si>
    <t>Воронцов Анатолий Вениаминович, председатель правления</t>
  </si>
  <si>
    <t>Волков Николай Викторович, директор</t>
  </si>
  <si>
    <t>2411022621</t>
  </si>
  <si>
    <t>Добун Николай Михайлович,    председатель</t>
  </si>
  <si>
    <t>Кривовяз Владимир Петрович, директор</t>
  </si>
  <si>
    <t>2447011479</t>
  </si>
  <si>
    <t>Кузнецова Рита Алексеевна, председатель</t>
  </si>
  <si>
    <t>Карпицкий Владимир Владимирович, директор</t>
  </si>
  <si>
    <t>2414002630</t>
  </si>
  <si>
    <t>2415000918</t>
  </si>
  <si>
    <t>Иванов Михаил Михайлович, глава кх</t>
  </si>
  <si>
    <t>Калиниченко Владимир Владимирович, председатель</t>
  </si>
  <si>
    <t>Виль Иван Андреевич, председатель</t>
  </si>
  <si>
    <t>Кийков Владимир Иванович, директор</t>
  </si>
  <si>
    <t>Митрюхин Сергей Владимирович, председатель</t>
  </si>
  <si>
    <t>Журавлев Валерий Станиславович, председатель</t>
  </si>
  <si>
    <t>Ляпин Владимир Афанасьевич, председатель</t>
  </si>
  <si>
    <t>243100118066</t>
  </si>
  <si>
    <t>Субботин Владимир Петрович, председатель</t>
  </si>
  <si>
    <t>2433004295</t>
  </si>
  <si>
    <t>Темников Борис Васильевич</t>
  </si>
  <si>
    <t>Терещенко Галина Ивановна, генеральный директор</t>
  </si>
  <si>
    <t xml:space="preserve">Гридюшкин Владимир Иванович, глава кх </t>
  </si>
  <si>
    <t xml:space="preserve">Гридюшкина Тамара Семеновна, глава кх </t>
  </si>
  <si>
    <t>Любавин Валерий Геннадьевич, директор</t>
  </si>
  <si>
    <t>Ильичева Нина Игоревна, председатель</t>
  </si>
  <si>
    <t>Дубровин Андрей Викторович, директор</t>
  </si>
  <si>
    <t>Васьков Сергей Никитович</t>
  </si>
  <si>
    <t>Нагапетян Раздан Погосович</t>
  </si>
  <si>
    <t>Гранты на развитие семейных животноводческих ферм</t>
  </si>
  <si>
    <t>Субсидии на компенсацию части затрат на строительство объектов животноводства, используемых для содержания КРС и (или) свиней, объектов овощеводства, используемых для производства и хранения овощей и (или) картофеля</t>
  </si>
  <si>
    <t>Субсидии на компенсацию части затрат по подготовке низкопродуктивной пашни под урожая будущего года</t>
  </si>
  <si>
    <t>Размер полученной государственной поддержки - всего</t>
  </si>
  <si>
    <t>Субсидии на возмещение части затрат на уплату процентов по инвестиционным кредитам (займам) на развитие животноводства</t>
  </si>
  <si>
    <t>Субсидии на возмещение части затрат на уплату процентов по кредитам, полученным малыми формами хозяйствования</t>
  </si>
  <si>
    <t>Субсидии на возмещение части затрат на уплату процентов по краткосрочным кредитам (займам) на развитие растениеводства</t>
  </si>
  <si>
    <t>Субсидии на возмещение части затрат на уплату процентов по краткосрочным кредитам (займам) на развитие животноводства</t>
  </si>
  <si>
    <t>Возмещение части затрат на уплату страховой премии, начисленной по договорам сельскохозяйственного страхования в области растениеводства</t>
  </si>
  <si>
    <t>Субсидии на компенсацию части стоимости оригинальных и элитных семян</t>
  </si>
  <si>
    <r>
      <t>Субсидии на возмещение части затрат на уплату процентов по инвестиционным кредитам (займам) на развитие растениеводства</t>
    </r>
    <r>
      <rPr>
        <sz val="15"/>
        <color indexed="10"/>
        <rFont val="Times New Roman"/>
        <family val="1"/>
      </rPr>
      <t xml:space="preserve"> </t>
    </r>
  </si>
  <si>
    <t>Субсидии на компенсацию части затрат на закладку и уход за плодовыми, ягодными кустарниковыми насаждениями,  плодовыми и ягодными питомниками</t>
  </si>
  <si>
    <t xml:space="preserve">Безвозмездно переданные учреждениям системы исполнения наказания минеральные удобрения, оригинальные и элитные семена сельскохозяйственных растений </t>
  </si>
  <si>
    <t xml:space="preserve"> Безвозмездно переданные сельскохозяйственным научно-исследовательским учреждениям, образовательным учреждениям высшего профессионального образования минеральные удобрения, оригинальные и элитные семена сельскохозяйственных растений</t>
  </si>
  <si>
    <t xml:space="preserve">Безвозмездно проведенное исследование качества молока, достоверности происхождения животных подконтрольного маточного поголовья, а также генетическая экспертиза </t>
  </si>
  <si>
    <t>Субсидии на  компенсацию части затрат на содержание племенного маточного поголовья, племенных быков-производителей и племенных рогачей маралов</t>
  </si>
  <si>
    <t>Субсидии на компенсацию части затрат на содержание и испытание племенных лошадей</t>
  </si>
  <si>
    <t>Субсидии на компенсацию части произведенных и не возмещенных в 2013 году затрат, связанных с приобретением  изделий автомобильной промышленности, тракторов и сельскохозяйственных машин, машин и оборудования для животноводства, птицеводства, оборудования технологического</t>
  </si>
  <si>
    <t xml:space="preserve"> Безвозмездно переданные учреждениям системы исполнения наказания приобретенные изделия автомобильной промышленности, тракторы, сельскохозяйственные машины, племенные сельскохозяйственные животные </t>
  </si>
  <si>
    <t>Пыжикова Наталья Ивановна</t>
  </si>
  <si>
    <t>Таймырский Долгано-Ненецкий Итог</t>
  </si>
  <si>
    <t>Наименование района (муниципального района)</t>
  </si>
  <si>
    <t>Наименование субъекта агропромышленного комплекса края</t>
  </si>
  <si>
    <t>2443006693</t>
  </si>
  <si>
    <t>2463211281</t>
  </si>
  <si>
    <t>Ерошин Вадим Вячеславович</t>
  </si>
  <si>
    <t>246317499239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</si>
</sst>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00"/>
    <numFmt numFmtId="182" formatCode="#,##0.0000"/>
    <numFmt numFmtId="183" formatCode="#,##0.00000"/>
    <numFmt numFmtId="184" formatCode="_-* #,##0.000_р_._-;\-* #,##0.000_р_._-;_-* &quot;-&quot;??_р_._-;_-@_-"/>
    <numFmt numFmtId="185" formatCode="0.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0_);_(* \(#,##0.00\);_(* \-??_);_(@_)"/>
    <numFmt numFmtId="192" formatCode="0.0000"/>
    <numFmt numFmtId="193" formatCode="0.00000"/>
    <numFmt numFmtId="194" formatCode="0.000000"/>
    <numFmt numFmtId="195" formatCode="#,##0.000000"/>
    <numFmt numFmtId="196" formatCode="#,##0.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#,##0.00000000"/>
    <numFmt numFmtId="200" formatCode="0.0000000"/>
    <numFmt numFmtId="201" formatCode="#,##0.000000000"/>
    <numFmt numFmtId="202" formatCode="#,##0.0000000000"/>
    <numFmt numFmtId="203" formatCode="_-* #,##0.000000_р_._-;\-* #,##0.000000_р_._-;_-* &quot;-&quot;??????_р_._-;_-@_-"/>
    <numFmt numFmtId="204" formatCode="000000"/>
    <numFmt numFmtId="205" formatCode="_-* #,##0.000000_р_._-;\-* #,##0.000000_р_._-;_-* &quot;-&quot;??_р_.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0000_р_._-;\-* #,##0.0000000_р_._-;_-* &quot;-&quot;??_р_._-;_-@_-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6"/>
      <color indexed="10"/>
      <name val="Times New Roman"/>
      <family val="1"/>
    </font>
    <font>
      <b/>
      <sz val="14"/>
      <color indexed="13"/>
      <name val="Times New Roman"/>
      <family val="1"/>
    </font>
    <font>
      <sz val="12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6"/>
      <color indexed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sz val="16"/>
      <color indexed="14"/>
      <name val="Times New Roman"/>
      <family val="1"/>
    </font>
    <font>
      <sz val="16"/>
      <color indexed="11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15"/>
      <name val="Times New Roman"/>
      <family val="1"/>
    </font>
    <font>
      <sz val="15"/>
      <color indexed="10"/>
      <name val="Times New Roman"/>
      <family val="1"/>
    </font>
    <font>
      <sz val="15"/>
      <name val="Arial Cyr"/>
      <family val="0"/>
    </font>
    <font>
      <sz val="13"/>
      <name val="Times New Roman"/>
      <family val="1"/>
    </font>
    <font>
      <sz val="13"/>
      <name val="Times New Roman Cyr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10" xfId="56" applyNumberFormat="1" applyFont="1" applyFill="1" applyBorder="1" applyAlignment="1">
      <alignment/>
      <protection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56" applyFont="1" applyFill="1" applyBorder="1" applyAlignment="1">
      <alignment wrapText="1"/>
      <protection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193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wrapText="1"/>
    </xf>
    <xf numFmtId="193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4" fillId="0" borderId="12" xfId="56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5" fillId="0" borderId="13" xfId="56" applyFont="1" applyFill="1" applyBorder="1" applyAlignment="1">
      <alignment wrapText="1"/>
      <protection/>
    </xf>
    <xf numFmtId="49" fontId="5" fillId="0" borderId="13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3" fontId="4" fillId="0" borderId="10" xfId="56" applyNumberFormat="1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3" fontId="4" fillId="0" borderId="11" xfId="56" applyNumberFormat="1" applyFont="1" applyFill="1" applyBorder="1" applyAlignment="1">
      <alignment/>
      <protection/>
    </xf>
    <xf numFmtId="0" fontId="4" fillId="0" borderId="11" xfId="57" applyFont="1" applyFill="1" applyBorder="1" applyAlignment="1">
      <alignment horizontal="left" wrapText="1"/>
      <protection/>
    </xf>
    <xf numFmtId="3" fontId="4" fillId="0" borderId="11" xfId="56" applyNumberFormat="1" applyFont="1" applyFill="1" applyBorder="1" applyAlignment="1">
      <alignment horizontal="left" wrapText="1"/>
      <protection/>
    </xf>
    <xf numFmtId="3" fontId="4" fillId="0" borderId="12" xfId="56" applyNumberFormat="1" applyFont="1" applyFill="1" applyBorder="1" applyAlignment="1">
      <alignment/>
      <protection/>
    </xf>
    <xf numFmtId="3" fontId="4" fillId="0" borderId="12" xfId="56" applyNumberFormat="1" applyFont="1" applyFill="1" applyBorder="1" applyAlignment="1">
      <alignment horizontal="left" wrapText="1"/>
      <protection/>
    </xf>
    <xf numFmtId="3" fontId="5" fillId="0" borderId="14" xfId="56" applyNumberFormat="1" applyFont="1" applyFill="1" applyBorder="1" applyAlignment="1">
      <alignment/>
      <protection/>
    </xf>
    <xf numFmtId="3" fontId="5" fillId="0" borderId="13" xfId="56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3" fontId="4" fillId="0" borderId="11" xfId="56" applyNumberFormat="1" applyFont="1" applyFill="1" applyBorder="1" applyAlignment="1">
      <alignment wrapText="1"/>
      <protection/>
    </xf>
    <xf numFmtId="193" fontId="4" fillId="0" borderId="0" xfId="0" applyNumberFormat="1" applyFont="1" applyFill="1" applyAlignment="1">
      <alignment/>
    </xf>
    <xf numFmtId="3" fontId="4" fillId="0" borderId="15" xfId="56" applyNumberFormat="1" applyFont="1" applyFill="1" applyBorder="1" applyAlignment="1">
      <alignment/>
      <protection/>
    </xf>
    <xf numFmtId="3" fontId="4" fillId="0" borderId="15" xfId="56" applyNumberFormat="1" applyFont="1" applyFill="1" applyBorder="1" applyAlignment="1">
      <alignment horizontal="left" wrapText="1"/>
      <protection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3" fontId="4" fillId="0" borderId="11" xfId="69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left" wrapText="1"/>
    </xf>
    <xf numFmtId="3" fontId="5" fillId="0" borderId="13" xfId="69" applyNumberFormat="1" applyFont="1" applyFill="1" applyBorder="1" applyAlignment="1">
      <alignment horizontal="left" wrapText="1"/>
    </xf>
    <xf numFmtId="183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3" fontId="5" fillId="0" borderId="18" xfId="56" applyNumberFormat="1" applyFont="1" applyFill="1" applyBorder="1" applyAlignment="1">
      <alignment/>
      <protection/>
    </xf>
    <xf numFmtId="3" fontId="5" fillId="0" borderId="19" xfId="56" applyNumberFormat="1" applyFont="1" applyFill="1" applyBorder="1" applyAlignment="1">
      <alignment horizontal="left" wrapText="1"/>
      <protection/>
    </xf>
    <xf numFmtId="49" fontId="5" fillId="0" borderId="19" xfId="0" applyNumberFormat="1" applyFont="1" applyFill="1" applyBorder="1" applyAlignment="1">
      <alignment horizontal="center" wrapText="1"/>
    </xf>
    <xf numFmtId="3" fontId="5" fillId="0" borderId="20" xfId="56" applyNumberFormat="1" applyFont="1" applyFill="1" applyBorder="1" applyAlignment="1">
      <alignment/>
      <protection/>
    </xf>
    <xf numFmtId="3" fontId="5" fillId="0" borderId="21" xfId="56" applyNumberFormat="1" applyFont="1" applyFill="1" applyBorder="1" applyAlignment="1">
      <alignment horizontal="left" wrapText="1"/>
      <protection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wrapText="1"/>
    </xf>
    <xf numFmtId="182" fontId="5" fillId="0" borderId="14" xfId="56" applyNumberFormat="1" applyFont="1" applyFill="1" applyBorder="1" applyAlignment="1">
      <alignment/>
      <protection/>
    </xf>
    <xf numFmtId="182" fontId="5" fillId="0" borderId="13" xfId="56" applyNumberFormat="1" applyFont="1" applyFill="1" applyBorder="1" applyAlignment="1">
      <alignment horizontal="left" wrapText="1"/>
      <protection/>
    </xf>
    <xf numFmtId="182" fontId="5" fillId="0" borderId="13" xfId="0" applyNumberFormat="1" applyFont="1" applyFill="1" applyBorder="1" applyAlignment="1">
      <alignment horizontal="center" wrapText="1"/>
    </xf>
    <xf numFmtId="182" fontId="5" fillId="0" borderId="0" xfId="0" applyNumberFormat="1" applyFont="1" applyFill="1" applyAlignment="1">
      <alignment/>
    </xf>
    <xf numFmtId="193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182" fontId="5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/>
    </xf>
    <xf numFmtId="49" fontId="70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vertical="center" wrapText="1"/>
    </xf>
    <xf numFmtId="183" fontId="4" fillId="0" borderId="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/>
    </xf>
    <xf numFmtId="183" fontId="6" fillId="0" borderId="0" xfId="0" applyNumberFormat="1" applyFont="1" applyFill="1" applyBorder="1" applyAlignment="1">
      <alignment horizontal="center" vertical="center" wrapText="1"/>
    </xf>
    <xf numFmtId="181" fontId="10" fillId="0" borderId="0" xfId="56" applyNumberFormat="1" applyFont="1" applyFill="1">
      <alignment/>
      <protection/>
    </xf>
    <xf numFmtId="183" fontId="4" fillId="0" borderId="0" xfId="0" applyNumberFormat="1" applyFont="1" applyFill="1" applyBorder="1" applyAlignment="1">
      <alignment/>
    </xf>
    <xf numFmtId="183" fontId="1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181" fontId="20" fillId="0" borderId="0" xfId="0" applyNumberFormat="1" applyFont="1" applyFill="1" applyAlignment="1">
      <alignment/>
    </xf>
    <xf numFmtId="181" fontId="20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 horizontal="right" wrapText="1"/>
    </xf>
    <xf numFmtId="180" fontId="4" fillId="0" borderId="11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 horizontal="right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1" xfId="69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 horizontal="right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/>
    </xf>
    <xf numFmtId="180" fontId="5" fillId="0" borderId="13" xfId="0" applyNumberFormat="1" applyFont="1" applyFill="1" applyBorder="1" applyAlignment="1">
      <alignment horizontal="right" wrapText="1"/>
    </xf>
    <xf numFmtId="180" fontId="4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right" wrapText="1"/>
    </xf>
    <xf numFmtId="180" fontId="4" fillId="0" borderId="10" xfId="0" applyNumberFormat="1" applyFont="1" applyFill="1" applyBorder="1" applyAlignment="1">
      <alignment horizontal="center" wrapText="1"/>
    </xf>
    <xf numFmtId="180" fontId="4" fillId="0" borderId="0" xfId="0" applyNumberFormat="1" applyFont="1" applyFill="1" applyAlignment="1">
      <alignment/>
    </xf>
    <xf numFmtId="180" fontId="5" fillId="0" borderId="19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horizontal="right" wrapText="1"/>
    </xf>
    <xf numFmtId="180" fontId="5" fillId="0" borderId="21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 horizontal="right" wrapText="1"/>
    </xf>
    <xf numFmtId="180" fontId="4" fillId="0" borderId="15" xfId="0" applyNumberFormat="1" applyFont="1" applyFill="1" applyBorder="1" applyAlignment="1">
      <alignment/>
    </xf>
    <xf numFmtId="180" fontId="4" fillId="0" borderId="15" xfId="0" applyNumberFormat="1" applyFont="1" applyFill="1" applyBorder="1" applyAlignment="1">
      <alignment horizontal="right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 horizontal="right" wrapText="1"/>
    </xf>
    <xf numFmtId="180" fontId="8" fillId="0" borderId="11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 horizontal="right" wrapText="1"/>
    </xf>
    <xf numFmtId="180" fontId="4" fillId="0" borderId="16" xfId="0" applyNumberFormat="1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5" fillId="0" borderId="24" xfId="0" applyNumberFormat="1" applyFont="1" applyFill="1" applyBorder="1" applyAlignment="1">
      <alignment/>
    </xf>
    <xf numFmtId="180" fontId="4" fillId="0" borderId="15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 horizontal="center" vertical="center" wrapText="1"/>
    </xf>
    <xf numFmtId="183" fontId="27" fillId="0" borderId="11" xfId="0" applyNumberFormat="1" applyFont="1" applyFill="1" applyBorder="1" applyAlignment="1">
      <alignment horizontal="center" vertical="center" wrapText="1"/>
    </xf>
    <xf numFmtId="0" fontId="5" fillId="0" borderId="14" xfId="56" applyNumberFormat="1" applyFont="1" applyFill="1" applyBorder="1" applyAlignment="1">
      <alignment/>
      <protection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4" fontId="29" fillId="0" borderId="11" xfId="0" applyNumberFormat="1" applyFont="1" applyFill="1" applyBorder="1" applyAlignment="1">
      <alignment horizontal="center" vertical="center" wrapText="1"/>
    </xf>
    <xf numFmtId="193" fontId="27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180" fontId="6" fillId="0" borderId="11" xfId="53" applyNumberFormat="1" applyFont="1" applyFill="1" applyBorder="1" applyAlignment="1">
      <alignment wrapText="1"/>
      <protection/>
    </xf>
    <xf numFmtId="180" fontId="4" fillId="0" borderId="11" xfId="0" applyNumberFormat="1" applyFont="1" applyFill="1" applyBorder="1" applyAlignment="1">
      <alignment wrapText="1"/>
    </xf>
    <xf numFmtId="180" fontId="4" fillId="0" borderId="12" xfId="0" applyNumberFormat="1" applyFont="1" applyFill="1" applyBorder="1" applyAlignment="1">
      <alignment wrapText="1"/>
    </xf>
    <xf numFmtId="180" fontId="6" fillId="0" borderId="12" xfId="53" applyNumberFormat="1" applyFont="1" applyFill="1" applyBorder="1" applyAlignment="1">
      <alignment wrapText="1"/>
      <protection/>
    </xf>
    <xf numFmtId="180" fontId="6" fillId="0" borderId="10" xfId="53" applyNumberFormat="1" applyFont="1" applyFill="1" applyBorder="1" applyAlignment="1">
      <alignment wrapText="1"/>
      <protection/>
    </xf>
    <xf numFmtId="180" fontId="70" fillId="0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5" fillId="0" borderId="12" xfId="0" applyNumberFormat="1" applyFont="1" applyFill="1" applyBorder="1" applyAlignment="1">
      <alignment/>
    </xf>
    <xf numFmtId="183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181" fontId="19" fillId="0" borderId="0" xfId="0" applyNumberFormat="1" applyFont="1" applyFill="1" applyAlignment="1">
      <alignment/>
    </xf>
    <xf numFmtId="181" fontId="9" fillId="0" borderId="0" xfId="69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3" fontId="4" fillId="33" borderId="10" xfId="56" applyNumberFormat="1" applyFont="1" applyFill="1" applyBorder="1" applyAlignment="1">
      <alignment/>
      <protection/>
    </xf>
    <xf numFmtId="3" fontId="4" fillId="33" borderId="10" xfId="56" applyNumberFormat="1" applyFont="1" applyFill="1" applyBorder="1" applyAlignment="1">
      <alignment horizontal="left" wrapText="1"/>
      <protection/>
    </xf>
    <xf numFmtId="49" fontId="4" fillId="33" borderId="10" xfId="0" applyNumberFormat="1" applyFont="1" applyFill="1" applyBorder="1" applyAlignment="1">
      <alignment horizontal="center" wrapText="1"/>
    </xf>
    <xf numFmtId="180" fontId="5" fillId="33" borderId="11" xfId="0" applyNumberFormat="1" applyFont="1" applyFill="1" applyBorder="1" applyAlignment="1">
      <alignment horizontal="right" wrapText="1"/>
    </xf>
    <xf numFmtId="180" fontId="4" fillId="33" borderId="11" xfId="0" applyNumberFormat="1" applyFont="1" applyFill="1" applyBorder="1" applyAlignment="1">
      <alignment horizontal="right" wrapText="1"/>
    </xf>
    <xf numFmtId="180" fontId="4" fillId="33" borderId="10" xfId="0" applyNumberFormat="1" applyFont="1" applyFill="1" applyBorder="1" applyAlignment="1">
      <alignment/>
    </xf>
    <xf numFmtId="180" fontId="4" fillId="33" borderId="10" xfId="0" applyNumberFormat="1" applyFont="1" applyFill="1" applyBorder="1" applyAlignment="1">
      <alignment horizontal="right" wrapText="1"/>
    </xf>
    <xf numFmtId="180" fontId="8" fillId="33" borderId="10" xfId="0" applyNumberFormat="1" applyFont="1" applyFill="1" applyBorder="1" applyAlignment="1">
      <alignment horizontal="right" wrapText="1"/>
    </xf>
    <xf numFmtId="180" fontId="6" fillId="33" borderId="10" xfId="53" applyNumberFormat="1" applyFont="1" applyFill="1" applyBorder="1" applyAlignment="1">
      <alignment wrapText="1"/>
      <protection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56" applyFont="1" applyFill="1" applyBorder="1" applyAlignment="1">
      <alignment wrapText="1"/>
      <protection/>
    </xf>
    <xf numFmtId="49" fontId="4" fillId="33" borderId="11" xfId="0" applyNumberFormat="1" applyFont="1" applyFill="1" applyBorder="1" applyAlignment="1">
      <alignment horizontal="center" wrapText="1"/>
    </xf>
    <xf numFmtId="180" fontId="4" fillId="33" borderId="11" xfId="0" applyNumberFormat="1" applyFont="1" applyFill="1" applyBorder="1" applyAlignment="1">
      <alignment/>
    </xf>
    <xf numFmtId="180" fontId="6" fillId="33" borderId="11" xfId="53" applyNumberFormat="1" applyFont="1" applyFill="1" applyBorder="1" applyAlignment="1">
      <alignment wrapText="1"/>
      <protection/>
    </xf>
    <xf numFmtId="180" fontId="4" fillId="33" borderId="11" xfId="0" applyNumberFormat="1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80" fontId="4" fillId="33" borderId="11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0" fontId="5" fillId="0" borderId="15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49" fontId="32" fillId="0" borderId="23" xfId="0" applyNumberFormat="1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1" fontId="32" fillId="0" borderId="23" xfId="0" applyNumberFormat="1" applyFont="1" applyFill="1" applyBorder="1" applyAlignment="1">
      <alignment horizontal="center" wrapText="1"/>
    </xf>
    <xf numFmtId="1" fontId="32" fillId="0" borderId="23" xfId="0" applyNumberFormat="1" applyFont="1" applyFill="1" applyBorder="1" applyAlignment="1">
      <alignment horizontal="left" wrapText="1"/>
    </xf>
    <xf numFmtId="1" fontId="32" fillId="33" borderId="23" xfId="0" applyNumberFormat="1" applyFont="1" applyFill="1" applyBorder="1" applyAlignment="1">
      <alignment horizontal="center" wrapText="1"/>
    </xf>
    <xf numFmtId="1" fontId="32" fillId="33" borderId="23" xfId="0" applyNumberFormat="1" applyFont="1" applyFill="1" applyBorder="1" applyAlignment="1">
      <alignment horizontal="left" wrapText="1"/>
    </xf>
    <xf numFmtId="49" fontId="32" fillId="0" borderId="23" xfId="0" applyNumberFormat="1" applyFont="1" applyFill="1" applyBorder="1" applyAlignment="1">
      <alignment horizontal="left" wrapText="1"/>
    </xf>
    <xf numFmtId="49" fontId="34" fillId="0" borderId="11" xfId="0" applyNumberFormat="1" applyFont="1" applyFill="1" applyBorder="1" applyAlignment="1">
      <alignment horizontal="center" wrapText="1"/>
    </xf>
    <xf numFmtId="49" fontId="34" fillId="0" borderId="11" xfId="0" applyNumberFormat="1" applyFont="1" applyFill="1" applyBorder="1" applyAlignment="1">
      <alignment horizontal="left" wrapText="1"/>
    </xf>
    <xf numFmtId="1" fontId="32" fillId="0" borderId="11" xfId="0" applyNumberFormat="1" applyFont="1" applyFill="1" applyBorder="1" applyAlignment="1" applyProtection="1">
      <alignment horizontal="center" wrapText="1"/>
      <protection locked="0"/>
    </xf>
    <xf numFmtId="1" fontId="32" fillId="0" borderId="11" xfId="0" applyNumberFormat="1" applyFont="1" applyFill="1" applyBorder="1" applyAlignment="1" applyProtection="1">
      <alignment horizontal="left" wrapText="1"/>
      <protection locked="0"/>
    </xf>
    <xf numFmtId="49" fontId="32" fillId="33" borderId="23" xfId="0" applyNumberFormat="1" applyFont="1" applyFill="1" applyBorder="1" applyAlignment="1">
      <alignment horizontal="center" wrapText="1"/>
    </xf>
    <xf numFmtId="49" fontId="32" fillId="33" borderId="23" xfId="0" applyNumberFormat="1" applyFont="1" applyFill="1" applyBorder="1" applyAlignment="1">
      <alignment horizontal="left" wrapText="1"/>
    </xf>
    <xf numFmtId="49" fontId="32" fillId="0" borderId="25" xfId="0" applyNumberFormat="1" applyFont="1" applyFill="1" applyBorder="1" applyAlignment="1">
      <alignment horizontal="center" wrapText="1"/>
    </xf>
    <xf numFmtId="49" fontId="35" fillId="0" borderId="26" xfId="0" applyNumberFormat="1" applyFont="1" applyFill="1" applyBorder="1" applyAlignment="1">
      <alignment horizontal="center" wrapText="1"/>
    </xf>
    <xf numFmtId="49" fontId="35" fillId="0" borderId="26" xfId="0" applyNumberFormat="1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12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49" fontId="32" fillId="0" borderId="11" xfId="58" applyNumberFormat="1" applyFont="1" applyFill="1" applyBorder="1" applyAlignment="1" applyProtection="1">
      <alignment horizontal="center" wrapText="1"/>
      <protection/>
    </xf>
    <xf numFmtId="49" fontId="35" fillId="0" borderId="13" xfId="0" applyNumberFormat="1" applyFont="1" applyFill="1" applyBorder="1" applyAlignment="1">
      <alignment horizontal="center" wrapText="1"/>
    </xf>
    <xf numFmtId="49" fontId="35" fillId="0" borderId="13" xfId="0" applyNumberFormat="1" applyFont="1" applyFill="1" applyBorder="1" applyAlignment="1">
      <alignment horizontal="left" wrapText="1"/>
    </xf>
    <xf numFmtId="0" fontId="33" fillId="0" borderId="11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49" fontId="32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0" borderId="1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wrapText="1"/>
    </xf>
    <xf numFmtId="49" fontId="35" fillId="0" borderId="21" xfId="0" applyNumberFormat="1" applyFont="1" applyFill="1" applyBorder="1" applyAlignment="1">
      <alignment horizontal="center" wrapText="1"/>
    </xf>
    <xf numFmtId="49" fontId="35" fillId="0" borderId="21" xfId="0" applyNumberFormat="1" applyFont="1" applyFill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left" wrapText="1"/>
    </xf>
    <xf numFmtId="49" fontId="35" fillId="0" borderId="19" xfId="0" applyNumberFormat="1" applyFont="1" applyFill="1" applyBorder="1" applyAlignment="1">
      <alignment horizontal="center" wrapText="1"/>
    </xf>
    <xf numFmtId="49" fontId="35" fillId="0" borderId="19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 wrapText="1"/>
    </xf>
    <xf numFmtId="182" fontId="35" fillId="0" borderId="13" xfId="0" applyNumberFormat="1" applyFont="1" applyFill="1" applyBorder="1" applyAlignment="1">
      <alignment horizontal="center" wrapText="1"/>
    </xf>
    <xf numFmtId="182" fontId="35" fillId="0" borderId="13" xfId="0" applyNumberFormat="1" applyFont="1" applyFill="1" applyBorder="1" applyAlignment="1">
      <alignment horizontal="right" wrapText="1"/>
    </xf>
    <xf numFmtId="1" fontId="34" fillId="0" borderId="11" xfId="0" applyNumberFormat="1" applyFont="1" applyFill="1" applyBorder="1" applyAlignment="1">
      <alignment horizontal="center" wrapText="1"/>
    </xf>
    <xf numFmtId="49" fontId="32" fillId="0" borderId="15" xfId="0" applyNumberFormat="1" applyFont="1" applyFill="1" applyBorder="1" applyAlignment="1">
      <alignment horizontal="center" wrapText="1"/>
    </xf>
    <xf numFmtId="49" fontId="32" fillId="0" borderId="15" xfId="0" applyNumberFormat="1" applyFont="1" applyFill="1" applyBorder="1" applyAlignment="1">
      <alignment horizontal="left" wrapText="1"/>
    </xf>
    <xf numFmtId="1" fontId="34" fillId="0" borderId="11" xfId="0" applyNumberFormat="1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wrapText="1"/>
    </xf>
    <xf numFmtId="49" fontId="32" fillId="33" borderId="10" xfId="0" applyNumberFormat="1" applyFont="1" applyFill="1" applyBorder="1" applyAlignment="1">
      <alignment horizontal="center" wrapText="1"/>
    </xf>
    <xf numFmtId="49" fontId="32" fillId="33" borderId="10" xfId="0" applyNumberFormat="1" applyFont="1" applyFill="1" applyBorder="1" applyAlignment="1">
      <alignment horizontal="left" wrapText="1"/>
    </xf>
    <xf numFmtId="49" fontId="32" fillId="33" borderId="11" xfId="0" applyNumberFormat="1" applyFont="1" applyFill="1" applyBorder="1" applyAlignment="1">
      <alignment horizontal="left" wrapText="1"/>
    </xf>
    <xf numFmtId="1" fontId="34" fillId="0" borderId="11" xfId="0" applyNumberFormat="1" applyFont="1" applyFill="1" applyBorder="1" applyAlignment="1" applyProtection="1">
      <alignment horizontal="center" wrapText="1"/>
      <protection locked="0"/>
    </xf>
    <xf numFmtId="1" fontId="34" fillId="0" borderId="11" xfId="0" applyNumberFormat="1" applyFont="1" applyFill="1" applyBorder="1" applyAlignment="1" applyProtection="1">
      <alignment horizontal="left" wrapText="1"/>
      <protection locked="0"/>
    </xf>
    <xf numFmtId="49" fontId="32" fillId="0" borderId="11" xfId="0" applyNumberFormat="1" applyFont="1" applyFill="1" applyBorder="1" applyAlignment="1" applyProtection="1">
      <alignment horizontal="center" wrapText="1"/>
      <protection locked="0"/>
    </xf>
    <xf numFmtId="49" fontId="32" fillId="0" borderId="11" xfId="0" applyNumberFormat="1" applyFont="1" applyFill="1" applyBorder="1" applyAlignment="1" applyProtection="1">
      <alignment horizontal="left" wrapText="1"/>
      <protection locked="0"/>
    </xf>
    <xf numFmtId="49" fontId="32" fillId="0" borderId="11" xfId="53" applyNumberFormat="1" applyFont="1" applyFill="1" applyBorder="1" applyAlignment="1">
      <alignment horizontal="center" vertical="center" wrapText="1"/>
      <protection/>
    </xf>
    <xf numFmtId="49" fontId="32" fillId="0" borderId="11" xfId="53" applyNumberFormat="1" applyFont="1" applyFill="1" applyBorder="1" applyAlignment="1">
      <alignment horizontal="left" vertical="center" wrapText="1"/>
      <protection/>
    </xf>
    <xf numFmtId="0" fontId="34" fillId="0" borderId="12" xfId="0" applyFont="1" applyFill="1" applyBorder="1" applyAlignment="1">
      <alignment horizontal="center" wrapText="1"/>
    </xf>
    <xf numFmtId="1" fontId="34" fillId="0" borderId="10" xfId="0" applyNumberFormat="1" applyFont="1" applyFill="1" applyBorder="1" applyAlignment="1">
      <alignment horizontal="center" wrapText="1"/>
    </xf>
    <xf numFmtId="1" fontId="34" fillId="0" borderId="10" xfId="0" applyNumberFormat="1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left" wrapText="1"/>
    </xf>
    <xf numFmtId="1" fontId="32" fillId="0" borderId="11" xfId="0" applyNumberFormat="1" applyFont="1" applyFill="1" applyBorder="1" applyAlignment="1">
      <alignment horizontal="center" wrapText="1"/>
    </xf>
    <xf numFmtId="1" fontId="32" fillId="0" borderId="11" xfId="0" applyNumberFormat="1" applyFont="1" applyFill="1" applyBorder="1" applyAlignment="1">
      <alignment horizontal="left" wrapText="1"/>
    </xf>
    <xf numFmtId="3" fontId="32" fillId="0" borderId="12" xfId="0" applyNumberFormat="1" applyFont="1" applyFill="1" applyBorder="1" applyAlignment="1">
      <alignment horizontal="center" wrapText="1"/>
    </xf>
    <xf numFmtId="3" fontId="32" fillId="0" borderId="12" xfId="0" applyNumberFormat="1" applyFont="1" applyFill="1" applyBorder="1" applyAlignment="1">
      <alignment horizontal="left" wrapText="1"/>
    </xf>
    <xf numFmtId="1" fontId="32" fillId="0" borderId="12" xfId="0" applyNumberFormat="1" applyFont="1" applyFill="1" applyBorder="1" applyAlignment="1">
      <alignment horizontal="center" wrapText="1"/>
    </xf>
    <xf numFmtId="1" fontId="32" fillId="0" borderId="12" xfId="0" applyNumberFormat="1" applyFont="1" applyFill="1" applyBorder="1" applyAlignment="1">
      <alignment horizontal="left" wrapText="1"/>
    </xf>
    <xf numFmtId="193" fontId="32" fillId="0" borderId="11" xfId="0" applyNumberFormat="1" applyFont="1" applyFill="1" applyBorder="1" applyAlignment="1">
      <alignment horizontal="center" wrapText="1"/>
    </xf>
    <xf numFmtId="193" fontId="32" fillId="0" borderId="11" xfId="0" applyNumberFormat="1" applyFont="1" applyFill="1" applyBorder="1" applyAlignment="1">
      <alignment horizontal="left" wrapText="1"/>
    </xf>
    <xf numFmtId="0" fontId="32" fillId="0" borderId="0" xfId="0" applyFont="1" applyFill="1" applyAlignment="1">
      <alignment horizontal="center"/>
    </xf>
    <xf numFmtId="0" fontId="32" fillId="0" borderId="11" xfId="0" applyFont="1" applyFill="1" applyBorder="1" applyAlignment="1">
      <alignment/>
    </xf>
    <xf numFmtId="182" fontId="35" fillId="0" borderId="13" xfId="0" applyNumberFormat="1" applyFont="1" applyFill="1" applyBorder="1" applyAlignment="1">
      <alignment horizontal="left" wrapText="1"/>
    </xf>
    <xf numFmtId="49" fontId="32" fillId="0" borderId="12" xfId="0" applyNumberFormat="1" applyFont="1" applyFill="1" applyBorder="1" applyAlignment="1">
      <alignment horizontal="left" wrapText="1"/>
    </xf>
    <xf numFmtId="1" fontId="34" fillId="0" borderId="12" xfId="0" applyNumberFormat="1" applyFont="1" applyFill="1" applyBorder="1" applyAlignment="1">
      <alignment horizontal="center" wrapText="1"/>
    </xf>
    <xf numFmtId="1" fontId="34" fillId="0" borderId="12" xfId="0" applyNumberFormat="1" applyFont="1" applyFill="1" applyBorder="1" applyAlignment="1">
      <alignment horizontal="left" wrapText="1"/>
    </xf>
    <xf numFmtId="49" fontId="33" fillId="0" borderId="12" xfId="0" applyNumberFormat="1" applyFont="1" applyFill="1" applyBorder="1" applyAlignment="1">
      <alignment horizontal="left" vertical="center" wrapText="1"/>
    </xf>
    <xf numFmtId="204" fontId="34" fillId="0" borderId="11" xfId="0" applyNumberFormat="1" applyFont="1" applyFill="1" applyBorder="1" applyAlignment="1">
      <alignment horizontal="center" wrapText="1"/>
    </xf>
    <xf numFmtId="204" fontId="34" fillId="0" borderId="11" xfId="0" applyNumberFormat="1" applyFont="1" applyFill="1" applyBorder="1" applyAlignment="1">
      <alignment horizontal="left" wrapText="1"/>
    </xf>
    <xf numFmtId="49" fontId="34" fillId="33" borderId="11" xfId="0" applyNumberFormat="1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33" borderId="11" xfId="0" applyNumberFormat="1" applyFont="1" applyFill="1" applyBorder="1" applyAlignment="1">
      <alignment horizontal="left" vertical="center" wrapText="1"/>
    </xf>
    <xf numFmtId="49" fontId="71" fillId="0" borderId="11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/>
    </xf>
    <xf numFmtId="3" fontId="5" fillId="0" borderId="14" xfId="56" applyNumberFormat="1" applyFont="1" applyFill="1" applyBorder="1" applyAlignment="1">
      <alignment wrapText="1"/>
      <protection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27" xfId="56" applyFont="1" applyFill="1" applyBorder="1" applyAlignment="1">
      <alignment horizontal="center" vertical="center" wrapText="1"/>
      <protection/>
    </xf>
    <xf numFmtId="0" fontId="27" fillId="0" borderId="25" xfId="56" applyFont="1" applyFill="1" applyBorder="1" applyAlignment="1">
      <alignment horizontal="center" vertical="center" wrapText="1"/>
      <protection/>
    </xf>
    <xf numFmtId="0" fontId="27" fillId="0" borderId="16" xfId="56" applyFont="1" applyFill="1" applyBorder="1" applyAlignment="1">
      <alignment horizontal="center" vertical="center" wrapText="1"/>
      <protection/>
    </xf>
    <xf numFmtId="0" fontId="27" fillId="0" borderId="28" xfId="56" applyFont="1" applyFill="1" applyBorder="1" applyAlignment="1">
      <alignment horizontal="center" vertical="center" wrapText="1"/>
      <protection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7" xfId="56" applyFont="1" applyFill="1" applyBorder="1" applyAlignment="1">
      <alignment horizontal="center" vertical="center" wrapText="1"/>
      <protection/>
    </xf>
    <xf numFmtId="0" fontId="27" fillId="0" borderId="29" xfId="56" applyFont="1" applyFill="1" applyBorder="1" applyAlignment="1">
      <alignment horizontal="center" vertical="center" wrapText="1"/>
      <protection/>
    </xf>
    <xf numFmtId="0" fontId="27" fillId="0" borderId="30" xfId="56" applyFont="1" applyFill="1" applyBorder="1" applyAlignment="1">
      <alignment horizontal="center" vertical="center" wrapText="1"/>
      <protection/>
    </xf>
    <xf numFmtId="0" fontId="27" fillId="0" borderId="11" xfId="56" applyFont="1" applyFill="1" applyBorder="1" applyAlignment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4" fontId="27" fillId="0" borderId="27" xfId="0" applyNumberFormat="1" applyFont="1" applyFill="1" applyBorder="1" applyAlignment="1">
      <alignment horizontal="center" vertical="center" wrapText="1"/>
    </xf>
    <xf numFmtId="4" fontId="27" fillId="0" borderId="25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horizontal="center" vertical="center" wrapText="1"/>
    </xf>
    <xf numFmtId="193" fontId="27" fillId="0" borderId="29" xfId="0" applyNumberFormat="1" applyFont="1" applyFill="1" applyBorder="1" applyAlignment="1">
      <alignment horizontal="center" vertical="center" wrapText="1"/>
    </xf>
    <xf numFmtId="193" fontId="31" fillId="0" borderId="25" xfId="0" applyNumberFormat="1" applyFont="1" applyFill="1" applyBorder="1" applyAlignment="1">
      <alignment horizontal="center" vertical="center" wrapText="1"/>
    </xf>
    <xf numFmtId="193" fontId="31" fillId="0" borderId="30" xfId="0" applyNumberFormat="1" applyFont="1" applyFill="1" applyBorder="1" applyAlignment="1">
      <alignment horizontal="center" vertical="center" wrapText="1"/>
    </xf>
    <xf numFmtId="193" fontId="31" fillId="0" borderId="28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81" fontId="28" fillId="0" borderId="12" xfId="0" applyNumberFormat="1" applyFont="1" applyFill="1" applyBorder="1" applyAlignment="1">
      <alignment horizontal="center" vertical="center" wrapText="1"/>
    </xf>
    <xf numFmtId="181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" fontId="27" fillId="0" borderId="29" xfId="0" applyNumberFormat="1" applyFont="1" applyFill="1" applyBorder="1" applyAlignment="1">
      <alignment horizontal="center" vertical="center" wrapText="1"/>
    </xf>
    <xf numFmtId="4" fontId="27" fillId="0" borderId="30" xfId="0" applyNumberFormat="1" applyFont="1" applyFill="1" applyBorder="1" applyAlignment="1">
      <alignment horizontal="center" vertical="center" wrapText="1"/>
    </xf>
    <xf numFmtId="195" fontId="28" fillId="0" borderId="11" xfId="0" applyNumberFormat="1" applyFont="1" applyFill="1" applyBorder="1" applyAlignment="1">
      <alignment horizontal="center" vertical="center" wrapText="1"/>
    </xf>
    <xf numFmtId="3" fontId="5" fillId="33" borderId="14" xfId="56" applyNumberFormat="1" applyFont="1" applyFill="1" applyBorder="1" applyAlignment="1">
      <alignment/>
      <protection/>
    </xf>
    <xf numFmtId="3" fontId="5" fillId="33" borderId="13" xfId="56" applyNumberFormat="1" applyFont="1" applyFill="1" applyBorder="1" applyAlignment="1">
      <alignment horizontal="left" wrapText="1"/>
      <protection/>
    </xf>
    <xf numFmtId="49" fontId="5" fillId="33" borderId="13" xfId="0" applyNumberFormat="1" applyFont="1" applyFill="1" applyBorder="1" applyAlignment="1">
      <alignment horizontal="center" wrapText="1"/>
    </xf>
    <xf numFmtId="49" fontId="18" fillId="33" borderId="26" xfId="0" applyNumberFormat="1" applyFont="1" applyFill="1" applyBorder="1" applyAlignment="1">
      <alignment horizontal="center" wrapText="1"/>
    </xf>
    <xf numFmtId="49" fontId="18" fillId="33" borderId="26" xfId="0" applyNumberFormat="1" applyFont="1" applyFill="1" applyBorder="1" applyAlignment="1">
      <alignment horizontal="left" wrapText="1"/>
    </xf>
    <xf numFmtId="180" fontId="5" fillId="33" borderId="13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Обычный_Дотации краев федер бюджет 2001" xfId="56"/>
    <cellStyle name="Обычный_РЕЕСТР НА ПРИОБР 2011  ноябрь_приобретение на 01.11.2011" xfId="57"/>
    <cellStyle name="Обычный_Форма отчета на 2010 год - отрасли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 6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_Дотации краев федер бюджет 2001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7;&#1086;&#1083;&#1091;&#1095;&#1072;&#1090;&#1077;&#1083;&#1077;&#1081;%20&#1079;&#1072;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7;&#1089;&#1090;&#1088;%20&#1089;%20&#1087;&#1088;&#1072;&#1074;&#1082;&#1072;&#1084;&#1080;%20ot_27_04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_&#1048;&#1089;&#1087;&#1086;&#1083;&#1085;&#1077;&#1085;&#1080;&#1103;_&#1073;&#1102;&#1076;&#1078;&#1077;&#1090;&#1072;_04\&#1054;&#1090;&#1095;&#1077;&#1090;&#1099;%20&#1087;&#1086;%20&#1060;&#1077;&#1076;&#1077;&#1088;&#1072;&#1094;&#1080;&#1080;%20&#1080;%20&#1082;&#1088;&#1072;&#1102;\2013%20&#1075;&#1086;&#1076;\&#1043;&#1055;-61%20&#1087;&#1072;&#1096;&#1085;&#1103;\01.01\&#1043;&#1055;-61&#1088;%20&#1089;%202013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без прочего на жив"/>
      <sheetName val="реестр Красноярский кр-й"/>
      <sheetName val="Лист2"/>
      <sheetName val="Лист3"/>
    </sheetNames>
    <sheetDataSet>
      <sheetData sheetId="2">
        <row r="1">
          <cell r="A1" t="str">
            <v>СХО</v>
          </cell>
        </row>
        <row r="2">
          <cell r="A2" t="str">
            <v>организации АПК</v>
          </cell>
        </row>
        <row r="3">
          <cell r="A3" t="str">
            <v>ЛПХ</v>
          </cell>
        </row>
        <row r="4">
          <cell r="A4" t="str">
            <v>ИП</v>
          </cell>
        </row>
        <row r="5">
          <cell r="A5" t="str">
            <v>КФХ</v>
          </cell>
        </row>
        <row r="6">
          <cell r="A6" t="str">
            <v>СПоК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A1" t="str">
            <v>СХО</v>
          </cell>
        </row>
        <row r="2">
          <cell r="A2" t="str">
            <v>организации АПК</v>
          </cell>
        </row>
        <row r="3">
          <cell r="A3" t="str">
            <v>организации потребкооперации</v>
          </cell>
        </row>
        <row r="4">
          <cell r="A4" t="str">
            <v>ЛПХ</v>
          </cell>
        </row>
        <row r="5">
          <cell r="A5" t="str">
            <v>ИП</v>
          </cell>
        </row>
        <row r="6">
          <cell r="A6" t="str">
            <v>КФХ</v>
          </cell>
        </row>
        <row r="7">
          <cell r="A7" t="str">
            <v>СПоК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Завоз семян"/>
      <sheetName val="Списки"/>
      <sheetName val="Инструкция"/>
      <sheetName val="ФЛК (обязательный)"/>
    </sheetNames>
    <sheetDataSet>
      <sheetData sheetId="1">
        <row r="1">
          <cell r="A1" t="str">
            <v>СХО</v>
          </cell>
        </row>
        <row r="2">
          <cell r="A2" t="str">
            <v>организации АПК</v>
          </cell>
        </row>
        <row r="3">
          <cell r="A3" t="str">
            <v>СПоК</v>
          </cell>
        </row>
        <row r="4">
          <cell r="A4" t="str">
            <v>КФХ</v>
          </cell>
        </row>
        <row r="5">
          <cell r="A5" t="str">
            <v>ИП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U1030"/>
  <sheetViews>
    <sheetView showZeros="0" tabSelected="1" view="pageBreakPreview" zoomScale="70" zoomScaleNormal="55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2" sqref="I12"/>
    </sheetView>
  </sheetViews>
  <sheetFormatPr defaultColWidth="9.25390625" defaultRowHeight="12.75" outlineLevelRow="2"/>
  <cols>
    <col min="1" max="1" width="27.00390625" style="5" customWidth="1"/>
    <col min="2" max="2" width="34.625" style="10" customWidth="1"/>
    <col min="3" max="3" width="15.25390625" style="6" hidden="1" customWidth="1"/>
    <col min="4" max="4" width="18.375" style="198" customWidth="1"/>
    <col min="5" max="5" width="36.125" style="7" customWidth="1"/>
    <col min="6" max="6" width="17.125" style="168" customWidth="1"/>
    <col min="7" max="7" width="18.125" style="8" customWidth="1"/>
    <col min="8" max="8" width="17.25390625" style="8" customWidth="1"/>
    <col min="9" max="9" width="18.25390625" style="8" customWidth="1"/>
    <col min="10" max="10" width="14.625" style="8" customWidth="1"/>
    <col min="11" max="11" width="18.125" style="8" customWidth="1"/>
    <col min="12" max="12" width="13.375" style="8" customWidth="1"/>
    <col min="13" max="13" width="20.125" style="58" customWidth="1"/>
    <col min="14" max="14" width="38.375" style="59" customWidth="1"/>
    <col min="15" max="15" width="17.00390625" style="8" customWidth="1"/>
    <col min="16" max="16" width="12.125" style="8" customWidth="1"/>
    <col min="17" max="17" width="26.00390625" style="8" customWidth="1"/>
    <col min="18" max="18" width="25.625" style="8" customWidth="1"/>
    <col min="19" max="19" width="16.875" style="8" customWidth="1"/>
    <col min="20" max="20" width="15.00390625" style="8" customWidth="1"/>
    <col min="21" max="21" width="16.875" style="8" customWidth="1"/>
    <col min="22" max="22" width="14.625" style="8" customWidth="1"/>
    <col min="23" max="23" width="17.25390625" style="8" customWidth="1"/>
    <col min="24" max="24" width="13.25390625" style="8" customWidth="1"/>
    <col min="25" max="25" width="17.375" style="8" customWidth="1"/>
    <col min="26" max="26" width="17.00390625" style="8" customWidth="1"/>
    <col min="27" max="27" width="17.25390625" style="8" customWidth="1"/>
    <col min="28" max="28" width="12.375" style="8" customWidth="1"/>
    <col min="29" max="29" width="17.25390625" style="58" customWidth="1"/>
    <col min="30" max="30" width="13.25390625" style="58" customWidth="1"/>
    <col min="31" max="32" width="18.625" style="8" customWidth="1"/>
    <col min="33" max="33" width="23.75390625" style="8" customWidth="1"/>
    <col min="34" max="34" width="33.00390625" style="8" customWidth="1"/>
    <col min="35" max="35" width="41.75390625" style="8" customWidth="1"/>
    <col min="36" max="36" width="22.25390625" style="8" customWidth="1"/>
    <col min="37" max="37" width="33.875" style="8" customWidth="1"/>
    <col min="38" max="38" width="30.75390625" style="8" customWidth="1"/>
    <col min="39" max="39" width="18.00390625" style="8" customWidth="1"/>
    <col min="40" max="40" width="29.00390625" style="8" customWidth="1"/>
    <col min="41" max="42" width="18.125" style="8" customWidth="1"/>
    <col min="43" max="43" width="22.00390625" style="8" customWidth="1"/>
    <col min="44" max="45" width="18.25390625" style="58" customWidth="1"/>
    <col min="46" max="47" width="24.00390625" style="58" customWidth="1"/>
    <col min="48" max="48" width="19.625" style="8" customWidth="1"/>
    <col min="49" max="49" width="18.75390625" style="8" customWidth="1"/>
    <col min="50" max="50" width="17.625" style="8" customWidth="1"/>
    <col min="51" max="51" width="15.375" style="58" customWidth="1"/>
    <col min="52" max="52" width="29.00390625" style="8" customWidth="1"/>
    <col min="53" max="53" width="34.00390625" style="8" customWidth="1"/>
    <col min="54" max="54" width="41.00390625" style="8" hidden="1" customWidth="1"/>
    <col min="55" max="55" width="19.25390625" style="58" customWidth="1"/>
    <col min="56" max="56" width="15.125" style="58" customWidth="1"/>
    <col min="57" max="57" width="23.375" style="8" customWidth="1"/>
    <col min="58" max="58" width="25.25390625" style="8" customWidth="1"/>
    <col min="59" max="60" width="19.375" style="8" customWidth="1"/>
    <col min="61" max="61" width="25.25390625" style="8" hidden="1" customWidth="1"/>
    <col min="62" max="62" width="43.75390625" style="1" customWidth="1"/>
    <col min="63" max="63" width="42.625" style="1" customWidth="1"/>
    <col min="64" max="64" width="37.625" style="1" customWidth="1"/>
    <col min="65" max="65" width="28.625" style="1" customWidth="1"/>
    <col min="66" max="66" width="25.00390625" style="1" customWidth="1"/>
    <col min="67" max="67" width="31.375" style="1" customWidth="1"/>
    <col min="68" max="68" width="18.125" style="1" hidden="1" customWidth="1"/>
    <col min="69" max="69" width="22.625" style="1" customWidth="1"/>
    <col min="70" max="70" width="18.125" style="1" customWidth="1"/>
    <col min="71" max="71" width="13.875" style="1" customWidth="1"/>
    <col min="72" max="72" width="17.875" style="1" customWidth="1"/>
    <col min="73" max="73" width="14.75390625" style="1" customWidth="1"/>
    <col min="74" max="16384" width="9.25390625" style="1" customWidth="1"/>
  </cols>
  <sheetData>
    <row r="1" spans="2:61" ht="22.5" customHeight="1">
      <c r="B1" s="150"/>
      <c r="C1" s="151"/>
      <c r="D1" s="195"/>
      <c r="E1" s="152"/>
      <c r="F1" s="154"/>
      <c r="G1" s="171" t="s">
        <v>1845</v>
      </c>
      <c r="H1" s="153"/>
      <c r="I1" s="9"/>
      <c r="J1" s="9"/>
      <c r="K1" s="9"/>
      <c r="L1" s="9"/>
      <c r="M1" s="80"/>
      <c r="N1" s="90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80"/>
      <c r="AD1" s="80"/>
      <c r="AE1" s="9"/>
      <c r="AF1" s="9"/>
      <c r="AG1" s="9"/>
      <c r="AH1" s="9"/>
      <c r="AI1" s="9"/>
      <c r="AJ1" s="9"/>
      <c r="AK1" s="9"/>
      <c r="AL1" s="9"/>
      <c r="AM1" s="9"/>
      <c r="AN1" s="91"/>
      <c r="AO1" s="9"/>
      <c r="AP1" s="9"/>
      <c r="AQ1" s="9"/>
      <c r="AR1" s="80"/>
      <c r="AS1" s="80"/>
      <c r="AT1" s="80"/>
      <c r="AU1" s="80"/>
      <c r="AV1" s="9"/>
      <c r="AW1" s="9"/>
      <c r="AX1" s="9"/>
      <c r="AY1" s="80"/>
      <c r="AZ1" s="9"/>
      <c r="BA1" s="9"/>
      <c r="BB1" s="9"/>
      <c r="BC1" s="80"/>
      <c r="BD1" s="310"/>
      <c r="BE1" s="310"/>
      <c r="BF1" s="88"/>
      <c r="BG1" s="88"/>
      <c r="BH1" s="88"/>
      <c r="BI1" s="88"/>
    </row>
    <row r="2" spans="2:73" ht="24.75" customHeight="1">
      <c r="B2" s="13"/>
      <c r="C2" s="13"/>
      <c r="D2" s="196"/>
      <c r="E2" s="14"/>
      <c r="F2" s="155"/>
      <c r="G2" s="13"/>
      <c r="H2" s="13"/>
      <c r="I2" s="12"/>
      <c r="J2" s="12"/>
      <c r="K2" s="79"/>
      <c r="L2" s="79"/>
      <c r="M2" s="84"/>
      <c r="N2" s="89"/>
      <c r="O2" s="79"/>
      <c r="P2" s="79"/>
      <c r="Q2" s="79"/>
      <c r="R2" s="79"/>
      <c r="S2" s="79"/>
      <c r="T2" s="79"/>
      <c r="U2" s="79"/>
      <c r="V2" s="172" t="s">
        <v>1846</v>
      </c>
      <c r="W2" s="79"/>
      <c r="X2" s="79"/>
      <c r="Y2" s="11"/>
      <c r="Z2" s="11"/>
      <c r="AA2" s="11"/>
      <c r="AB2" s="11"/>
      <c r="AC2" s="81"/>
      <c r="AD2" s="81"/>
      <c r="AE2" s="12"/>
      <c r="AF2" s="12"/>
      <c r="AG2" s="12"/>
      <c r="AH2" s="12"/>
      <c r="AI2" s="12"/>
      <c r="AJ2" s="11"/>
      <c r="AK2" s="11"/>
      <c r="AL2" s="11"/>
      <c r="AM2" s="11"/>
      <c r="AN2" s="172" t="s">
        <v>1846</v>
      </c>
      <c r="AO2" s="11"/>
      <c r="AP2" s="11"/>
      <c r="AQ2" s="11"/>
      <c r="AR2" s="81"/>
      <c r="AS2" s="81"/>
      <c r="AT2" s="81"/>
      <c r="AU2" s="81"/>
      <c r="AV2" s="11"/>
      <c r="AW2" s="12"/>
      <c r="AX2" s="12"/>
      <c r="AY2" s="81"/>
      <c r="AZ2" s="11"/>
      <c r="BA2" s="173" t="s">
        <v>1846</v>
      </c>
      <c r="BB2" s="11"/>
      <c r="BC2" s="81"/>
      <c r="BD2" s="81"/>
      <c r="BE2" s="12"/>
      <c r="BF2" s="12"/>
      <c r="BG2" s="12"/>
      <c r="BH2" s="12"/>
      <c r="BI2" s="12"/>
      <c r="BU2" s="173" t="s">
        <v>1846</v>
      </c>
    </row>
    <row r="3" spans="1:73" s="148" customFormat="1" ht="39" customHeight="1">
      <c r="A3" s="301" t="s">
        <v>2837</v>
      </c>
      <c r="B3" s="301" t="s">
        <v>2838</v>
      </c>
      <c r="C3" s="312"/>
      <c r="D3" s="312" t="s">
        <v>1427</v>
      </c>
      <c r="E3" s="286" t="s">
        <v>1848</v>
      </c>
      <c r="F3" s="293" t="s">
        <v>2819</v>
      </c>
      <c r="G3" s="314"/>
      <c r="H3" s="294"/>
      <c r="I3" s="301" t="s">
        <v>2820</v>
      </c>
      <c r="J3" s="301"/>
      <c r="K3" s="309" t="s">
        <v>2826</v>
      </c>
      <c r="L3" s="309"/>
      <c r="M3" s="316" t="s">
        <v>1827</v>
      </c>
      <c r="N3" s="307" t="s">
        <v>2817</v>
      </c>
      <c r="O3" s="309" t="s">
        <v>2821</v>
      </c>
      <c r="P3" s="309"/>
      <c r="Q3" s="309" t="s">
        <v>1828</v>
      </c>
      <c r="R3" s="309" t="s">
        <v>1829</v>
      </c>
      <c r="S3" s="309" t="s">
        <v>2822</v>
      </c>
      <c r="T3" s="309"/>
      <c r="U3" s="309" t="s">
        <v>2823</v>
      </c>
      <c r="V3" s="309"/>
      <c r="W3" s="302" t="s">
        <v>2824</v>
      </c>
      <c r="X3" s="303"/>
      <c r="Y3" s="292" t="s">
        <v>2825</v>
      </c>
      <c r="Z3" s="292"/>
      <c r="AA3" s="292" t="s">
        <v>2818</v>
      </c>
      <c r="AB3" s="292"/>
      <c r="AC3" s="302" t="s">
        <v>2824</v>
      </c>
      <c r="AD3" s="303"/>
      <c r="AE3" s="293" t="s">
        <v>2827</v>
      </c>
      <c r="AF3" s="294"/>
      <c r="AG3" s="280" t="s">
        <v>1830</v>
      </c>
      <c r="AH3" s="280" t="s">
        <v>2828</v>
      </c>
      <c r="AI3" s="280" t="s">
        <v>2829</v>
      </c>
      <c r="AJ3" s="292" t="s">
        <v>1831</v>
      </c>
      <c r="AK3" s="280" t="s">
        <v>2830</v>
      </c>
      <c r="AL3" s="301" t="s">
        <v>1825</v>
      </c>
      <c r="AM3" s="292" t="s">
        <v>1832</v>
      </c>
      <c r="AN3" s="292" t="s">
        <v>1563</v>
      </c>
      <c r="AO3" s="292" t="s">
        <v>2831</v>
      </c>
      <c r="AP3" s="292"/>
      <c r="AQ3" s="292" t="s">
        <v>2832</v>
      </c>
      <c r="AR3" s="293" t="s">
        <v>1833</v>
      </c>
      <c r="AS3" s="294"/>
      <c r="AT3" s="280" t="s">
        <v>1834</v>
      </c>
      <c r="AU3" s="280" t="s">
        <v>1835</v>
      </c>
      <c r="AV3" s="292" t="s">
        <v>1836</v>
      </c>
      <c r="AW3" s="301" t="s">
        <v>1709</v>
      </c>
      <c r="AX3" s="293" t="s">
        <v>1837</v>
      </c>
      <c r="AY3" s="294"/>
      <c r="AZ3" s="292" t="s">
        <v>1838</v>
      </c>
      <c r="BA3" s="280" t="s">
        <v>1839</v>
      </c>
      <c r="BB3" s="292" t="s">
        <v>1840</v>
      </c>
      <c r="BC3" s="297" t="s">
        <v>1707</v>
      </c>
      <c r="BD3" s="298"/>
      <c r="BE3" s="292" t="s">
        <v>1841</v>
      </c>
      <c r="BF3" s="292" t="s">
        <v>1564</v>
      </c>
      <c r="BG3" s="293" t="s">
        <v>1708</v>
      </c>
      <c r="BH3" s="294"/>
      <c r="BI3" s="292" t="s">
        <v>1710</v>
      </c>
      <c r="BJ3" s="280" t="s">
        <v>2833</v>
      </c>
      <c r="BK3" s="280" t="s">
        <v>2834</v>
      </c>
      <c r="BL3" s="286" t="s">
        <v>360</v>
      </c>
      <c r="BM3" s="288" t="s">
        <v>1847</v>
      </c>
      <c r="BN3" s="291" t="s">
        <v>1842</v>
      </c>
      <c r="BO3" s="291" t="s">
        <v>1711</v>
      </c>
      <c r="BP3" s="282" t="s">
        <v>1565</v>
      </c>
      <c r="BQ3" s="289"/>
      <c r="BR3" s="291" t="s">
        <v>1566</v>
      </c>
      <c r="BS3" s="291"/>
      <c r="BT3" s="282" t="s">
        <v>2816</v>
      </c>
      <c r="BU3" s="283"/>
    </row>
    <row r="4" spans="1:73" s="149" customFormat="1" ht="147.75" customHeight="1" outlineLevel="1">
      <c r="A4" s="311"/>
      <c r="B4" s="301"/>
      <c r="C4" s="312"/>
      <c r="D4" s="312"/>
      <c r="E4" s="313"/>
      <c r="F4" s="295"/>
      <c r="G4" s="315"/>
      <c r="H4" s="296"/>
      <c r="I4" s="301"/>
      <c r="J4" s="301"/>
      <c r="K4" s="309"/>
      <c r="L4" s="309"/>
      <c r="M4" s="316"/>
      <c r="N4" s="308"/>
      <c r="O4" s="309"/>
      <c r="P4" s="309"/>
      <c r="Q4" s="309"/>
      <c r="R4" s="309"/>
      <c r="S4" s="309"/>
      <c r="T4" s="309"/>
      <c r="U4" s="309"/>
      <c r="V4" s="309"/>
      <c r="W4" s="304"/>
      <c r="X4" s="305"/>
      <c r="Y4" s="292"/>
      <c r="Z4" s="292"/>
      <c r="AA4" s="292"/>
      <c r="AB4" s="292"/>
      <c r="AC4" s="304"/>
      <c r="AD4" s="305"/>
      <c r="AE4" s="295"/>
      <c r="AF4" s="296"/>
      <c r="AG4" s="306"/>
      <c r="AH4" s="281"/>
      <c r="AI4" s="281"/>
      <c r="AJ4" s="292"/>
      <c r="AK4" s="281"/>
      <c r="AL4" s="301"/>
      <c r="AM4" s="292"/>
      <c r="AN4" s="292"/>
      <c r="AO4" s="292"/>
      <c r="AP4" s="292"/>
      <c r="AQ4" s="292"/>
      <c r="AR4" s="295"/>
      <c r="AS4" s="296"/>
      <c r="AT4" s="281"/>
      <c r="AU4" s="281"/>
      <c r="AV4" s="292"/>
      <c r="AW4" s="301"/>
      <c r="AX4" s="295"/>
      <c r="AY4" s="296"/>
      <c r="AZ4" s="292"/>
      <c r="BA4" s="281"/>
      <c r="BB4" s="292"/>
      <c r="BC4" s="299"/>
      <c r="BD4" s="300"/>
      <c r="BE4" s="292"/>
      <c r="BF4" s="292"/>
      <c r="BG4" s="295"/>
      <c r="BH4" s="296"/>
      <c r="BI4" s="292"/>
      <c r="BJ4" s="281"/>
      <c r="BK4" s="281"/>
      <c r="BL4" s="287"/>
      <c r="BM4" s="288"/>
      <c r="BN4" s="291"/>
      <c r="BO4" s="291"/>
      <c r="BP4" s="284"/>
      <c r="BQ4" s="290"/>
      <c r="BR4" s="291"/>
      <c r="BS4" s="291"/>
      <c r="BT4" s="284"/>
      <c r="BU4" s="285"/>
    </row>
    <row r="5" spans="1:73" s="149" customFormat="1" ht="41.25" customHeight="1" outlineLevel="1">
      <c r="A5" s="311"/>
      <c r="B5" s="301"/>
      <c r="C5" s="312"/>
      <c r="D5" s="312"/>
      <c r="E5" s="287"/>
      <c r="F5" s="156" t="s">
        <v>1692</v>
      </c>
      <c r="G5" s="145" t="s">
        <v>864</v>
      </c>
      <c r="H5" s="145" t="s">
        <v>1826</v>
      </c>
      <c r="I5" s="145" t="s">
        <v>864</v>
      </c>
      <c r="J5" s="145" t="s">
        <v>1826</v>
      </c>
      <c r="K5" s="145" t="s">
        <v>864</v>
      </c>
      <c r="L5" s="145" t="s">
        <v>1826</v>
      </c>
      <c r="M5" s="145" t="s">
        <v>1826</v>
      </c>
      <c r="N5" s="145" t="s">
        <v>1826</v>
      </c>
      <c r="O5" s="145" t="s">
        <v>864</v>
      </c>
      <c r="P5" s="145" t="s">
        <v>1826</v>
      </c>
      <c r="Q5" s="145" t="s">
        <v>1826</v>
      </c>
      <c r="R5" s="145" t="s">
        <v>1826</v>
      </c>
      <c r="S5" s="145" t="s">
        <v>864</v>
      </c>
      <c r="T5" s="145" t="s">
        <v>1826</v>
      </c>
      <c r="U5" s="145" t="s">
        <v>864</v>
      </c>
      <c r="V5" s="145" t="s">
        <v>1826</v>
      </c>
      <c r="W5" s="145" t="s">
        <v>864</v>
      </c>
      <c r="X5" s="145" t="s">
        <v>1826</v>
      </c>
      <c r="Y5" s="145" t="s">
        <v>864</v>
      </c>
      <c r="Z5" s="145" t="s">
        <v>1826</v>
      </c>
      <c r="AA5" s="146" t="s">
        <v>864</v>
      </c>
      <c r="AB5" s="145" t="s">
        <v>1826</v>
      </c>
      <c r="AC5" s="146" t="s">
        <v>864</v>
      </c>
      <c r="AD5" s="145" t="s">
        <v>1826</v>
      </c>
      <c r="AE5" s="145" t="s">
        <v>864</v>
      </c>
      <c r="AF5" s="145" t="s">
        <v>1826</v>
      </c>
      <c r="AG5" s="145" t="s">
        <v>1826</v>
      </c>
      <c r="AH5" s="145" t="s">
        <v>1826</v>
      </c>
      <c r="AI5" s="145" t="s">
        <v>1826</v>
      </c>
      <c r="AJ5" s="145" t="s">
        <v>1826</v>
      </c>
      <c r="AK5" s="145" t="s">
        <v>1826</v>
      </c>
      <c r="AL5" s="145" t="s">
        <v>1826</v>
      </c>
      <c r="AM5" s="145" t="s">
        <v>1826</v>
      </c>
      <c r="AN5" s="145" t="s">
        <v>1826</v>
      </c>
      <c r="AO5" s="145" t="s">
        <v>864</v>
      </c>
      <c r="AP5" s="145" t="s">
        <v>1826</v>
      </c>
      <c r="AQ5" s="145" t="s">
        <v>1826</v>
      </c>
      <c r="AR5" s="145" t="s">
        <v>864</v>
      </c>
      <c r="AS5" s="145" t="s">
        <v>1826</v>
      </c>
      <c r="AT5" s="145" t="s">
        <v>1826</v>
      </c>
      <c r="AU5" s="145" t="s">
        <v>1826</v>
      </c>
      <c r="AV5" s="145" t="s">
        <v>1826</v>
      </c>
      <c r="AW5" s="145" t="s">
        <v>1826</v>
      </c>
      <c r="AX5" s="145" t="s">
        <v>864</v>
      </c>
      <c r="AY5" s="145" t="s">
        <v>1826</v>
      </c>
      <c r="AZ5" s="145" t="s">
        <v>1826</v>
      </c>
      <c r="BA5" s="145" t="s">
        <v>1826</v>
      </c>
      <c r="BB5" s="145" t="s">
        <v>1826</v>
      </c>
      <c r="BC5" s="146" t="s">
        <v>864</v>
      </c>
      <c r="BD5" s="145" t="s">
        <v>1826</v>
      </c>
      <c r="BE5" s="145" t="s">
        <v>1826</v>
      </c>
      <c r="BF5" s="145" t="s">
        <v>1826</v>
      </c>
      <c r="BG5" s="157" t="s">
        <v>864</v>
      </c>
      <c r="BH5" s="145" t="s">
        <v>1826</v>
      </c>
      <c r="BI5" s="145" t="s">
        <v>1826</v>
      </c>
      <c r="BJ5" s="145" t="s">
        <v>1826</v>
      </c>
      <c r="BK5" s="145" t="s">
        <v>1826</v>
      </c>
      <c r="BL5" s="145" t="s">
        <v>1826</v>
      </c>
      <c r="BM5" s="145" t="s">
        <v>1826</v>
      </c>
      <c r="BN5" s="145" t="s">
        <v>1826</v>
      </c>
      <c r="BO5" s="145" t="s">
        <v>1826</v>
      </c>
      <c r="BP5" s="145" t="s">
        <v>864</v>
      </c>
      <c r="BQ5" s="145" t="s">
        <v>1826</v>
      </c>
      <c r="BR5" s="145" t="s">
        <v>864</v>
      </c>
      <c r="BS5" s="145" t="s">
        <v>1826</v>
      </c>
      <c r="BT5" s="145" t="s">
        <v>864</v>
      </c>
      <c r="BU5" s="145" t="s">
        <v>1826</v>
      </c>
    </row>
    <row r="6" spans="1:73" s="16" customFormat="1" ht="23.25" customHeight="1" outlineLevel="1">
      <c r="A6" s="93"/>
      <c r="B6" s="17"/>
      <c r="C6" s="94"/>
      <c r="D6" s="95"/>
      <c r="E6" s="95"/>
      <c r="F6" s="96"/>
      <c r="G6" s="97"/>
      <c r="H6" s="97"/>
      <c r="I6" s="97"/>
      <c r="J6" s="97"/>
      <c r="K6" s="97"/>
      <c r="L6" s="97"/>
      <c r="M6" s="98"/>
      <c r="N6" s="99"/>
      <c r="O6" s="97"/>
      <c r="P6" s="97"/>
      <c r="Q6" s="97"/>
      <c r="R6" s="97"/>
      <c r="S6" s="158"/>
      <c r="T6" s="97"/>
      <c r="U6" s="97"/>
      <c r="V6" s="97"/>
      <c r="W6" s="97"/>
      <c r="X6" s="97"/>
      <c r="Y6" s="97"/>
      <c r="Z6" s="97"/>
      <c r="AA6" s="97"/>
      <c r="AB6" s="97"/>
      <c r="AC6" s="98"/>
      <c r="AD6" s="98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8"/>
      <c r="AS6" s="98"/>
      <c r="AT6" s="98"/>
      <c r="AU6" s="98"/>
      <c r="AV6" s="97"/>
      <c r="AW6" s="100"/>
      <c r="AX6" s="100"/>
      <c r="AY6" s="98"/>
      <c r="AZ6" s="97"/>
      <c r="BA6" s="97"/>
      <c r="BB6" s="99"/>
      <c r="BC6" s="98"/>
      <c r="BD6" s="98"/>
      <c r="BE6" s="97"/>
      <c r="BF6" s="97"/>
      <c r="BG6" s="97"/>
      <c r="BH6" s="97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</row>
    <row r="7" spans="1:73" ht="33.75" customHeight="1" outlineLevel="2">
      <c r="A7" s="17" t="s">
        <v>887</v>
      </c>
      <c r="B7" s="17" t="s">
        <v>69</v>
      </c>
      <c r="C7" s="20" t="s">
        <v>1496</v>
      </c>
      <c r="D7" s="202" t="s">
        <v>1693</v>
      </c>
      <c r="E7" s="203" t="s">
        <v>1864</v>
      </c>
      <c r="F7" s="108">
        <f aca="true" t="shared" si="0" ref="F7:F67">G7+H7</f>
        <v>2557.41265</v>
      </c>
      <c r="G7" s="106">
        <f>I7+K7+O7+S7+U7+W7+Y7+AA7+AC7+AE7+AR7+AX7+BC7+BG7+BP7+BR7+BT7+AO7</f>
        <v>1229.1262900000002</v>
      </c>
      <c r="H7" s="106">
        <f>J7+L7+M7+N7+P7+Q7+R7+T7+V7+X7+Z7+AB7+AD7+AF7+AG7+AJ7+AL7+AS7+AT7+AU7+AV7+AW7+AY7+AZ7+BA7+BB7+BD7+BE7+BF7+BH7+BI7+BJ7+BL7+BM7+BN7+BO7+BQ7+BS7+BU7+AH7+AI7+AK7+AM7+AN7+AP7+AQ7+BK7</f>
        <v>1328.28636</v>
      </c>
      <c r="I7" s="107">
        <v>0</v>
      </c>
      <c r="J7" s="107"/>
      <c r="K7" s="124">
        <v>330.58716</v>
      </c>
      <c r="L7" s="107">
        <v>71.20331</v>
      </c>
      <c r="M7" s="107"/>
      <c r="N7" s="107"/>
      <c r="O7" s="106"/>
      <c r="P7" s="106"/>
      <c r="Q7" s="106">
        <v>303.34781</v>
      </c>
      <c r="R7" s="106"/>
      <c r="S7" s="106"/>
      <c r="T7" s="107"/>
      <c r="U7" s="107"/>
      <c r="V7" s="107"/>
      <c r="W7" s="107"/>
      <c r="X7" s="107"/>
      <c r="Y7" s="107">
        <v>30.4</v>
      </c>
      <c r="Z7" s="106">
        <v>79.86</v>
      </c>
      <c r="AA7" s="159">
        <v>414.68835</v>
      </c>
      <c r="AB7" s="106">
        <v>267.39867</v>
      </c>
      <c r="AC7" s="107"/>
      <c r="AD7" s="107"/>
      <c r="AE7" s="107"/>
      <c r="AF7" s="107"/>
      <c r="AG7" s="107"/>
      <c r="AH7" s="107"/>
      <c r="AI7" s="107"/>
      <c r="AJ7" s="108">
        <v>161.78676000000002</v>
      </c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6"/>
      <c r="AZ7" s="107"/>
      <c r="BA7" s="107"/>
      <c r="BB7" s="107"/>
      <c r="BC7" s="107">
        <v>453.45078</v>
      </c>
      <c r="BD7" s="106">
        <v>444.68981</v>
      </c>
      <c r="BE7" s="107"/>
      <c r="BF7" s="107"/>
      <c r="BG7" s="107">
        <v>0</v>
      </c>
      <c r="BH7" s="107"/>
      <c r="BI7" s="107"/>
      <c r="BJ7" s="107"/>
      <c r="BK7" s="107"/>
      <c r="BL7" s="107"/>
      <c r="BM7" s="107"/>
      <c r="BN7" s="107"/>
      <c r="BO7" s="107"/>
      <c r="BP7" s="107"/>
      <c r="BQ7" s="109"/>
      <c r="BR7" s="109"/>
      <c r="BS7" s="109"/>
      <c r="BT7" s="109"/>
      <c r="BU7" s="138"/>
    </row>
    <row r="8" spans="1:73" ht="34.5" customHeight="1" outlineLevel="2">
      <c r="A8" s="18" t="s">
        <v>887</v>
      </c>
      <c r="B8" s="18" t="s">
        <v>1147</v>
      </c>
      <c r="C8" s="20" t="s">
        <v>1496</v>
      </c>
      <c r="D8" s="202" t="s">
        <v>1148</v>
      </c>
      <c r="E8" s="203" t="s">
        <v>1863</v>
      </c>
      <c r="F8" s="108">
        <f t="shared" si="0"/>
        <v>1745.3256</v>
      </c>
      <c r="G8" s="106">
        <f aca="true" t="shared" si="1" ref="G8:G67">I8+K8+O8+S8+U8+W8+Y8+AA8+AC8+AE8+AR8+AX8+BC8+BG8+BP8+BR8+BT8+AO8</f>
        <v>229.64023000000003</v>
      </c>
      <c r="H8" s="106">
        <f aca="true" t="shared" si="2" ref="H8:H67">J8+L8+M8+N8+P8+Q8+R8+T8+V8+X8+Z8+AB8+AD8+AF8+AG8+AJ8+AL8+AS8+AT8+AU8+AV8+AW8+AY8+AZ8+BA8+BB8+BD8+BE8+BF8+BH8+BI8+BJ8+BL8+BM8+BN8+BO8+BQ8+BS8+BU8+AH8+AI8+AK8+AM8+AN8+AP8+AQ8+BK8</f>
        <v>1515.68537</v>
      </c>
      <c r="I8" s="107"/>
      <c r="J8" s="107"/>
      <c r="K8" s="107">
        <v>89.15921</v>
      </c>
      <c r="L8" s="107">
        <v>14.1234</v>
      </c>
      <c r="M8" s="107">
        <v>147.37192</v>
      </c>
      <c r="N8" s="107"/>
      <c r="O8" s="106"/>
      <c r="P8" s="106"/>
      <c r="Q8" s="106"/>
      <c r="R8" s="106"/>
      <c r="S8" s="106"/>
      <c r="T8" s="107"/>
      <c r="U8" s="107"/>
      <c r="V8" s="107"/>
      <c r="W8" s="107"/>
      <c r="X8" s="107"/>
      <c r="Y8" s="107">
        <v>2.52535</v>
      </c>
      <c r="Z8" s="106">
        <v>11.979</v>
      </c>
      <c r="AA8" s="159">
        <v>59.5338</v>
      </c>
      <c r="AB8" s="106">
        <v>39.61462</v>
      </c>
      <c r="AC8" s="107"/>
      <c r="AD8" s="107"/>
      <c r="AE8" s="107"/>
      <c r="AF8" s="107"/>
      <c r="AG8" s="107"/>
      <c r="AH8" s="107"/>
      <c r="AI8" s="107"/>
      <c r="AJ8" s="108">
        <v>0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6"/>
      <c r="AZ8" s="107"/>
      <c r="BA8" s="107"/>
      <c r="BB8" s="107"/>
      <c r="BC8" s="107">
        <v>78.42187</v>
      </c>
      <c r="BD8" s="106">
        <v>76.90639</v>
      </c>
      <c r="BE8" s="107"/>
      <c r="BF8" s="107"/>
      <c r="BG8" s="107">
        <v>0</v>
      </c>
      <c r="BH8" s="107">
        <v>0</v>
      </c>
      <c r="BI8" s="107"/>
      <c r="BJ8" s="107">
        <v>1225.69004</v>
      </c>
      <c r="BK8" s="107"/>
      <c r="BL8" s="107"/>
      <c r="BM8" s="107"/>
      <c r="BN8" s="107"/>
      <c r="BO8" s="107"/>
      <c r="BP8" s="107"/>
      <c r="BQ8" s="109"/>
      <c r="BR8" s="109"/>
      <c r="BS8" s="109"/>
      <c r="BT8" s="109"/>
      <c r="BU8" s="138"/>
    </row>
    <row r="9" spans="1:73" ht="34.5" customHeight="1" outlineLevel="2">
      <c r="A9" s="18" t="s">
        <v>887</v>
      </c>
      <c r="B9" s="18" t="s">
        <v>940</v>
      </c>
      <c r="C9" s="20" t="s">
        <v>1496</v>
      </c>
      <c r="D9" s="202" t="s">
        <v>1654</v>
      </c>
      <c r="E9" s="203" t="s">
        <v>1850</v>
      </c>
      <c r="F9" s="108">
        <f t="shared" si="0"/>
        <v>896.71145</v>
      </c>
      <c r="G9" s="106">
        <f t="shared" si="1"/>
        <v>448.41609</v>
      </c>
      <c r="H9" s="106">
        <f t="shared" si="2"/>
        <v>448.29536</v>
      </c>
      <c r="I9" s="107"/>
      <c r="J9" s="107"/>
      <c r="K9" s="107"/>
      <c r="L9" s="107"/>
      <c r="M9" s="107"/>
      <c r="N9" s="107"/>
      <c r="O9" s="106"/>
      <c r="P9" s="106"/>
      <c r="Q9" s="106"/>
      <c r="R9" s="106"/>
      <c r="S9" s="106"/>
      <c r="T9" s="107"/>
      <c r="U9" s="107"/>
      <c r="V9" s="107"/>
      <c r="W9" s="107"/>
      <c r="X9" s="107"/>
      <c r="Y9" s="107"/>
      <c r="Z9" s="106"/>
      <c r="AA9" s="159">
        <v>227.71679</v>
      </c>
      <c r="AB9" s="106">
        <v>148.55482</v>
      </c>
      <c r="AC9" s="107"/>
      <c r="AD9" s="107"/>
      <c r="AE9" s="107"/>
      <c r="AF9" s="107"/>
      <c r="AG9" s="107"/>
      <c r="AH9" s="107"/>
      <c r="AI9" s="107"/>
      <c r="AJ9" s="108">
        <v>83.31312</v>
      </c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6"/>
      <c r="AZ9" s="107"/>
      <c r="BA9" s="107"/>
      <c r="BB9" s="107"/>
      <c r="BC9" s="107">
        <v>220.6993</v>
      </c>
      <c r="BD9" s="106">
        <v>216.42742</v>
      </c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9"/>
      <c r="BR9" s="109"/>
      <c r="BS9" s="109"/>
      <c r="BT9" s="109"/>
      <c r="BU9" s="138"/>
    </row>
    <row r="10" spans="1:73" ht="44.25" customHeight="1" outlineLevel="2">
      <c r="A10" s="18" t="s">
        <v>887</v>
      </c>
      <c r="B10" s="18" t="s">
        <v>1041</v>
      </c>
      <c r="C10" s="20" t="s">
        <v>1496</v>
      </c>
      <c r="D10" s="202" t="s">
        <v>1042</v>
      </c>
      <c r="E10" s="203" t="s">
        <v>1859</v>
      </c>
      <c r="F10" s="108">
        <f t="shared" si="0"/>
        <v>5899.8221699999995</v>
      </c>
      <c r="G10" s="106">
        <f t="shared" si="1"/>
        <v>1652.24271</v>
      </c>
      <c r="H10" s="106">
        <f t="shared" si="2"/>
        <v>4247.57946</v>
      </c>
      <c r="I10" s="107"/>
      <c r="J10" s="107"/>
      <c r="K10" s="107"/>
      <c r="L10" s="107"/>
      <c r="M10" s="107">
        <v>915.97052</v>
      </c>
      <c r="N10" s="107"/>
      <c r="O10" s="106"/>
      <c r="P10" s="106"/>
      <c r="Q10" s="106">
        <v>196.58542</v>
      </c>
      <c r="R10" s="106"/>
      <c r="S10" s="160">
        <v>8.55238</v>
      </c>
      <c r="T10" s="107">
        <v>4.27619</v>
      </c>
      <c r="U10" s="107"/>
      <c r="V10" s="107"/>
      <c r="W10" s="107"/>
      <c r="X10" s="107"/>
      <c r="Y10" s="107"/>
      <c r="Z10" s="106"/>
      <c r="AA10" s="159">
        <v>647.75554</v>
      </c>
      <c r="AB10" s="106">
        <v>396.14618</v>
      </c>
      <c r="AC10" s="107"/>
      <c r="AD10" s="107"/>
      <c r="AE10" s="107"/>
      <c r="AF10" s="107"/>
      <c r="AG10" s="107"/>
      <c r="AH10" s="107"/>
      <c r="AI10" s="107"/>
      <c r="AJ10" s="108">
        <v>0</v>
      </c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6"/>
      <c r="AZ10" s="107"/>
      <c r="BA10" s="107"/>
      <c r="BB10" s="107"/>
      <c r="BC10" s="107">
        <v>995.93479</v>
      </c>
      <c r="BD10" s="106">
        <v>976.70555</v>
      </c>
      <c r="BE10" s="106">
        <v>385.9605</v>
      </c>
      <c r="BF10" s="106"/>
      <c r="BG10" s="106"/>
      <c r="BH10" s="106"/>
      <c r="BI10" s="107"/>
      <c r="BJ10" s="107">
        <v>1371.9351</v>
      </c>
      <c r="BK10" s="107"/>
      <c r="BL10" s="107"/>
      <c r="BM10" s="107"/>
      <c r="BN10" s="107"/>
      <c r="BO10" s="107"/>
      <c r="BP10" s="107"/>
      <c r="BQ10" s="109"/>
      <c r="BR10" s="109"/>
      <c r="BS10" s="109"/>
      <c r="BT10" s="109"/>
      <c r="BU10" s="138"/>
    </row>
    <row r="11" spans="1:73" ht="38.25" customHeight="1" outlineLevel="2">
      <c r="A11" s="18" t="s">
        <v>887</v>
      </c>
      <c r="B11" s="18" t="s">
        <v>1439</v>
      </c>
      <c r="C11" s="20" t="s">
        <v>1496</v>
      </c>
      <c r="D11" s="202" t="s">
        <v>34</v>
      </c>
      <c r="E11" s="203" t="s">
        <v>1862</v>
      </c>
      <c r="F11" s="108">
        <f t="shared" si="0"/>
        <v>2177.5879000000004</v>
      </c>
      <c r="G11" s="106">
        <f t="shared" si="1"/>
        <v>1024.19509</v>
      </c>
      <c r="H11" s="106">
        <f t="shared" si="2"/>
        <v>1153.3928100000003</v>
      </c>
      <c r="I11" s="107"/>
      <c r="J11" s="107"/>
      <c r="K11" s="107">
        <v>118.69014</v>
      </c>
      <c r="L11" s="107">
        <v>16.07591</v>
      </c>
      <c r="M11" s="107"/>
      <c r="N11" s="107"/>
      <c r="O11" s="106"/>
      <c r="P11" s="106"/>
      <c r="Q11" s="106"/>
      <c r="R11" s="106"/>
      <c r="S11" s="160"/>
      <c r="T11" s="107"/>
      <c r="U11" s="107"/>
      <c r="V11" s="107"/>
      <c r="W11" s="107"/>
      <c r="X11" s="107"/>
      <c r="Y11" s="107">
        <v>13.25809</v>
      </c>
      <c r="Z11" s="106">
        <v>62.88975</v>
      </c>
      <c r="AA11" s="159">
        <v>419.32117</v>
      </c>
      <c r="AB11" s="106">
        <v>316.91694</v>
      </c>
      <c r="AC11" s="107"/>
      <c r="AD11" s="107"/>
      <c r="AE11" s="107"/>
      <c r="AF11" s="107"/>
      <c r="AG11" s="107"/>
      <c r="AH11" s="107"/>
      <c r="AI11" s="107"/>
      <c r="AJ11" s="108">
        <v>185.973</v>
      </c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6"/>
      <c r="AZ11" s="107"/>
      <c r="BA11" s="107"/>
      <c r="BB11" s="107"/>
      <c r="BC11" s="107">
        <v>472.92569</v>
      </c>
      <c r="BD11" s="106">
        <v>463.78698</v>
      </c>
      <c r="BE11" s="107"/>
      <c r="BF11" s="107"/>
      <c r="BG11" s="107"/>
      <c r="BH11" s="107"/>
      <c r="BI11" s="107"/>
      <c r="BJ11" s="107"/>
      <c r="BK11" s="107"/>
      <c r="BL11" s="107"/>
      <c r="BM11" s="107">
        <v>107.75023</v>
      </c>
      <c r="BN11" s="107"/>
      <c r="BO11" s="107"/>
      <c r="BP11" s="107"/>
      <c r="BQ11" s="109"/>
      <c r="BR11" s="109"/>
      <c r="BS11" s="109"/>
      <c r="BT11" s="109"/>
      <c r="BU11" s="138"/>
    </row>
    <row r="12" spans="1:73" ht="41.25" customHeight="1" outlineLevel="2">
      <c r="A12" s="18" t="s">
        <v>887</v>
      </c>
      <c r="B12" s="18" t="s">
        <v>62</v>
      </c>
      <c r="C12" s="20" t="s">
        <v>1496</v>
      </c>
      <c r="D12" s="202" t="s">
        <v>1043</v>
      </c>
      <c r="E12" s="203" t="s">
        <v>1857</v>
      </c>
      <c r="F12" s="108">
        <f t="shared" si="0"/>
        <v>5142.436900000001</v>
      </c>
      <c r="G12" s="106">
        <f t="shared" si="1"/>
        <v>2406.17031</v>
      </c>
      <c r="H12" s="106">
        <f t="shared" si="2"/>
        <v>2736.26659</v>
      </c>
      <c r="I12" s="107">
        <v>0</v>
      </c>
      <c r="J12" s="107"/>
      <c r="K12" s="107">
        <v>142.42819</v>
      </c>
      <c r="L12" s="107">
        <v>31.58756</v>
      </c>
      <c r="M12" s="107"/>
      <c r="N12" s="107"/>
      <c r="O12" s="106"/>
      <c r="P12" s="106"/>
      <c r="Q12" s="106"/>
      <c r="R12" s="106"/>
      <c r="S12" s="160">
        <f>116.40411+6.78082</f>
        <v>123.18493000000001</v>
      </c>
      <c r="T12" s="107">
        <v>61.59246</v>
      </c>
      <c r="U12" s="107"/>
      <c r="V12" s="107"/>
      <c r="W12" s="107">
        <v>872.82383</v>
      </c>
      <c r="X12" s="107">
        <v>455.67515</v>
      </c>
      <c r="Y12" s="107">
        <v>60.8</v>
      </c>
      <c r="Z12" s="106">
        <v>159.72</v>
      </c>
      <c r="AA12" s="159">
        <v>339.93483</v>
      </c>
      <c r="AB12" s="106">
        <v>250.95861</v>
      </c>
      <c r="AC12" s="107"/>
      <c r="AD12" s="107"/>
      <c r="AE12" s="107"/>
      <c r="AF12" s="107"/>
      <c r="AG12" s="107"/>
      <c r="AH12" s="107"/>
      <c r="AI12" s="107"/>
      <c r="AJ12" s="108">
        <v>828.01548</v>
      </c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6"/>
      <c r="AZ12" s="107"/>
      <c r="BA12" s="107"/>
      <c r="BB12" s="107"/>
      <c r="BC12" s="107">
        <v>866.99853</v>
      </c>
      <c r="BD12" s="106">
        <v>850.23385</v>
      </c>
      <c r="BE12" s="107">
        <v>55.3944</v>
      </c>
      <c r="BF12" s="107"/>
      <c r="BG12" s="107"/>
      <c r="BH12" s="107"/>
      <c r="BI12" s="107"/>
      <c r="BJ12" s="107">
        <v>43.08908</v>
      </c>
      <c r="BK12" s="107"/>
      <c r="BL12" s="107"/>
      <c r="BM12" s="107"/>
      <c r="BN12" s="107"/>
      <c r="BO12" s="107"/>
      <c r="BP12" s="107"/>
      <c r="BQ12" s="109"/>
      <c r="BR12" s="109"/>
      <c r="BS12" s="109"/>
      <c r="BT12" s="109"/>
      <c r="BU12" s="138"/>
    </row>
    <row r="13" spans="1:73" ht="41.25" customHeight="1" outlineLevel="2">
      <c r="A13" s="18" t="s">
        <v>887</v>
      </c>
      <c r="B13" s="18" t="s">
        <v>809</v>
      </c>
      <c r="C13" s="20" t="s">
        <v>1496</v>
      </c>
      <c r="D13" s="202" t="s">
        <v>1093</v>
      </c>
      <c r="E13" s="203" t="s">
        <v>1856</v>
      </c>
      <c r="F13" s="108">
        <f t="shared" si="0"/>
        <v>2097.58698</v>
      </c>
      <c r="G13" s="106">
        <f t="shared" si="1"/>
        <v>795.20505</v>
      </c>
      <c r="H13" s="106">
        <f t="shared" si="2"/>
        <v>1302.38193</v>
      </c>
      <c r="I13" s="107"/>
      <c r="J13" s="107"/>
      <c r="K13" s="107">
        <v>170.33968</v>
      </c>
      <c r="L13" s="107">
        <v>61.94168</v>
      </c>
      <c r="M13" s="107">
        <f>16.15737+157.22969</f>
        <v>173.38706000000002</v>
      </c>
      <c r="N13" s="107"/>
      <c r="O13" s="106"/>
      <c r="P13" s="106"/>
      <c r="Q13" s="106"/>
      <c r="R13" s="106"/>
      <c r="S13" s="160"/>
      <c r="T13" s="107"/>
      <c r="U13" s="107"/>
      <c r="V13" s="107"/>
      <c r="W13" s="107"/>
      <c r="X13" s="107"/>
      <c r="Y13" s="107"/>
      <c r="Z13" s="106"/>
      <c r="AA13" s="159">
        <v>106.09628</v>
      </c>
      <c r="AB13" s="106">
        <v>69.32558</v>
      </c>
      <c r="AC13" s="107"/>
      <c r="AD13" s="107"/>
      <c r="AE13" s="107"/>
      <c r="AF13" s="107"/>
      <c r="AG13" s="107"/>
      <c r="AH13" s="107"/>
      <c r="AI13" s="107"/>
      <c r="AJ13" s="108">
        <v>88.32812</v>
      </c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>
        <v>240.17004</v>
      </c>
      <c r="AY13" s="106">
        <v>126.97136</v>
      </c>
      <c r="AZ13" s="107"/>
      <c r="BA13" s="107"/>
      <c r="BB13" s="107"/>
      <c r="BC13" s="107">
        <v>278.59905</v>
      </c>
      <c r="BD13" s="106">
        <v>273.21329</v>
      </c>
      <c r="BE13" s="107"/>
      <c r="BF13" s="107"/>
      <c r="BG13" s="107"/>
      <c r="BH13" s="107"/>
      <c r="BI13" s="107"/>
      <c r="BJ13" s="107">
        <v>374.32584</v>
      </c>
      <c r="BK13" s="107"/>
      <c r="BL13" s="107"/>
      <c r="BM13" s="107">
        <v>134.889</v>
      </c>
      <c r="BN13" s="107"/>
      <c r="BO13" s="107"/>
      <c r="BP13" s="107"/>
      <c r="BQ13" s="109"/>
      <c r="BR13" s="109"/>
      <c r="BS13" s="109"/>
      <c r="BT13" s="109"/>
      <c r="BU13" s="138"/>
    </row>
    <row r="14" spans="1:73" ht="33" outlineLevel="2">
      <c r="A14" s="18" t="s">
        <v>887</v>
      </c>
      <c r="B14" s="18" t="s">
        <v>1149</v>
      </c>
      <c r="C14" s="20" t="s">
        <v>1496</v>
      </c>
      <c r="D14" s="202" t="s">
        <v>431</v>
      </c>
      <c r="E14" s="203" t="s">
        <v>1852</v>
      </c>
      <c r="F14" s="108">
        <f t="shared" si="0"/>
        <v>36.64672</v>
      </c>
      <c r="G14" s="106">
        <f t="shared" si="1"/>
        <v>22.7816</v>
      </c>
      <c r="H14" s="106">
        <f t="shared" si="2"/>
        <v>13.86512</v>
      </c>
      <c r="I14" s="107"/>
      <c r="J14" s="107"/>
      <c r="K14" s="107"/>
      <c r="L14" s="107"/>
      <c r="M14" s="107"/>
      <c r="N14" s="107"/>
      <c r="O14" s="106"/>
      <c r="P14" s="106"/>
      <c r="Q14" s="106"/>
      <c r="R14" s="106"/>
      <c r="S14" s="160"/>
      <c r="T14" s="107"/>
      <c r="U14" s="107"/>
      <c r="V14" s="107"/>
      <c r="W14" s="107"/>
      <c r="X14" s="107"/>
      <c r="Y14" s="107"/>
      <c r="Z14" s="106"/>
      <c r="AA14" s="159">
        <v>22.7816</v>
      </c>
      <c r="AB14" s="106">
        <v>13.86512</v>
      </c>
      <c r="AC14" s="107"/>
      <c r="AD14" s="107"/>
      <c r="AE14" s="107"/>
      <c r="AF14" s="107"/>
      <c r="AG14" s="107"/>
      <c r="AH14" s="107"/>
      <c r="AI14" s="107"/>
      <c r="AJ14" s="108">
        <v>0</v>
      </c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6"/>
      <c r="AZ14" s="107"/>
      <c r="BA14" s="107"/>
      <c r="BB14" s="107"/>
      <c r="BC14" s="107"/>
      <c r="BD14" s="106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9"/>
      <c r="BR14" s="109"/>
      <c r="BS14" s="109"/>
      <c r="BT14" s="109"/>
      <c r="BU14" s="138"/>
    </row>
    <row r="15" spans="1:73" ht="33" outlineLevel="2">
      <c r="A15" s="18" t="s">
        <v>887</v>
      </c>
      <c r="B15" s="18" t="s">
        <v>220</v>
      </c>
      <c r="C15" s="20" t="s">
        <v>1496</v>
      </c>
      <c r="D15" s="202" t="s">
        <v>221</v>
      </c>
      <c r="E15" s="203" t="s">
        <v>1854</v>
      </c>
      <c r="F15" s="108">
        <f t="shared" si="0"/>
        <v>38680.945309999996</v>
      </c>
      <c r="G15" s="106">
        <f t="shared" si="1"/>
        <v>14334.474509999998</v>
      </c>
      <c r="H15" s="106">
        <f t="shared" si="2"/>
        <v>24346.4708</v>
      </c>
      <c r="I15" s="107">
        <v>6753.82972</v>
      </c>
      <c r="J15" s="107"/>
      <c r="K15" s="107"/>
      <c r="L15" s="107"/>
      <c r="M15" s="107"/>
      <c r="N15" s="107">
        <v>13490.9829</v>
      </c>
      <c r="O15" s="106"/>
      <c r="P15" s="106"/>
      <c r="Q15" s="106"/>
      <c r="R15" s="106"/>
      <c r="S15" s="160"/>
      <c r="T15" s="107"/>
      <c r="U15" s="107"/>
      <c r="V15" s="107"/>
      <c r="W15" s="107">
        <v>1671.67973</v>
      </c>
      <c r="X15" s="107">
        <v>872.73386</v>
      </c>
      <c r="Y15" s="107">
        <v>69.92</v>
      </c>
      <c r="Z15" s="106">
        <v>183.678</v>
      </c>
      <c r="AA15" s="159">
        <v>990.444</v>
      </c>
      <c r="AB15" s="106">
        <v>614.02658</v>
      </c>
      <c r="AC15" s="107"/>
      <c r="AD15" s="107"/>
      <c r="AE15" s="107"/>
      <c r="AF15" s="107"/>
      <c r="AG15" s="107">
        <v>204.7815</v>
      </c>
      <c r="AH15" s="107"/>
      <c r="AI15" s="107"/>
      <c r="AJ15" s="108">
        <v>379.81728</v>
      </c>
      <c r="AK15" s="107">
        <v>26.8925</v>
      </c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>
        <v>815.36</v>
      </c>
      <c r="AW15" s="107"/>
      <c r="AX15" s="107">
        <v>2194.62431</v>
      </c>
      <c r="AY15" s="106">
        <v>953.90212</v>
      </c>
      <c r="AZ15" s="107"/>
      <c r="BA15" s="107"/>
      <c r="BB15" s="107"/>
      <c r="BC15" s="107">
        <v>2653.97675</v>
      </c>
      <c r="BD15" s="106">
        <v>2602.69293</v>
      </c>
      <c r="BE15" s="107">
        <v>90</v>
      </c>
      <c r="BF15" s="107"/>
      <c r="BG15" s="107"/>
      <c r="BH15" s="107"/>
      <c r="BI15" s="107"/>
      <c r="BJ15" s="107">
        <v>3564.9901</v>
      </c>
      <c r="BK15" s="107"/>
      <c r="BL15" s="107"/>
      <c r="BM15" s="107">
        <v>546.61303</v>
      </c>
      <c r="BN15" s="107"/>
      <c r="BO15" s="107"/>
      <c r="BP15" s="107"/>
      <c r="BQ15" s="109"/>
      <c r="BR15" s="109"/>
      <c r="BS15" s="109"/>
      <c r="BT15" s="109"/>
      <c r="BU15" s="138"/>
    </row>
    <row r="16" spans="1:73" ht="38.25" customHeight="1" outlineLevel="2">
      <c r="A16" s="18" t="s">
        <v>887</v>
      </c>
      <c r="B16" s="18" t="s">
        <v>222</v>
      </c>
      <c r="C16" s="20" t="s">
        <v>1496</v>
      </c>
      <c r="D16" s="202" t="s">
        <v>980</v>
      </c>
      <c r="E16" s="203" t="s">
        <v>1860</v>
      </c>
      <c r="F16" s="108">
        <f t="shared" si="0"/>
        <v>1495.29513</v>
      </c>
      <c r="G16" s="106">
        <f t="shared" si="1"/>
        <v>882.9343100000001</v>
      </c>
      <c r="H16" s="106">
        <f t="shared" si="2"/>
        <v>612.36082</v>
      </c>
      <c r="I16" s="107"/>
      <c r="J16" s="107"/>
      <c r="K16" s="107">
        <v>190.55126</v>
      </c>
      <c r="L16" s="107">
        <v>16.67935</v>
      </c>
      <c r="M16" s="107"/>
      <c r="N16" s="107"/>
      <c r="O16" s="106"/>
      <c r="P16" s="106"/>
      <c r="Q16" s="106"/>
      <c r="R16" s="106"/>
      <c r="S16" s="160"/>
      <c r="T16" s="107"/>
      <c r="U16" s="107"/>
      <c r="V16" s="107"/>
      <c r="W16" s="107"/>
      <c r="X16" s="107"/>
      <c r="Y16" s="107"/>
      <c r="Z16" s="106"/>
      <c r="AA16" s="159">
        <v>286.93903</v>
      </c>
      <c r="AB16" s="106">
        <v>198.07309</v>
      </c>
      <c r="AC16" s="107"/>
      <c r="AD16" s="107"/>
      <c r="AE16" s="107"/>
      <c r="AF16" s="107"/>
      <c r="AG16" s="107"/>
      <c r="AH16" s="107"/>
      <c r="AI16" s="107"/>
      <c r="AJ16" s="108">
        <v>0</v>
      </c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6"/>
      <c r="AZ16" s="107"/>
      <c r="BA16" s="107"/>
      <c r="BB16" s="107"/>
      <c r="BC16" s="107">
        <v>405.44402</v>
      </c>
      <c r="BD16" s="106">
        <v>397.60838</v>
      </c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9"/>
      <c r="BR16" s="109"/>
      <c r="BS16" s="109"/>
      <c r="BT16" s="109"/>
      <c r="BU16" s="138"/>
    </row>
    <row r="17" spans="1:73" ht="39" customHeight="1" outlineLevel="2">
      <c r="A17" s="18" t="s">
        <v>887</v>
      </c>
      <c r="B17" s="18" t="s">
        <v>981</v>
      </c>
      <c r="C17" s="20" t="s">
        <v>1496</v>
      </c>
      <c r="D17" s="202" t="s">
        <v>982</v>
      </c>
      <c r="E17" s="203" t="s">
        <v>1855</v>
      </c>
      <c r="F17" s="108">
        <f t="shared" si="0"/>
        <v>6473.24373</v>
      </c>
      <c r="G17" s="106">
        <f t="shared" si="1"/>
        <v>2203.87181</v>
      </c>
      <c r="H17" s="106">
        <f t="shared" si="2"/>
        <v>4269.37192</v>
      </c>
      <c r="I17" s="107"/>
      <c r="J17" s="107"/>
      <c r="K17" s="107">
        <v>310.84163</v>
      </c>
      <c r="L17" s="107">
        <v>103.80082</v>
      </c>
      <c r="M17" s="107"/>
      <c r="N17" s="107"/>
      <c r="O17" s="106"/>
      <c r="P17" s="106"/>
      <c r="Q17" s="106"/>
      <c r="R17" s="106"/>
      <c r="S17" s="160"/>
      <c r="T17" s="107"/>
      <c r="U17" s="107"/>
      <c r="V17" s="107"/>
      <c r="W17" s="107"/>
      <c r="X17" s="107"/>
      <c r="Y17" s="107"/>
      <c r="Z17" s="106">
        <v>10.89</v>
      </c>
      <c r="AA17" s="159">
        <v>544.10568</v>
      </c>
      <c r="AB17" s="106">
        <v>304.04219</v>
      </c>
      <c r="AC17" s="107"/>
      <c r="AD17" s="107"/>
      <c r="AE17" s="107"/>
      <c r="AF17" s="107"/>
      <c r="AG17" s="107"/>
      <c r="AH17" s="107"/>
      <c r="AI17" s="107"/>
      <c r="AJ17" s="108">
        <v>446.71928</v>
      </c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>
        <v>473.6764</v>
      </c>
      <c r="AY17" s="106">
        <v>161.35797</v>
      </c>
      <c r="AZ17" s="107"/>
      <c r="BA17" s="107">
        <v>1400.18064</v>
      </c>
      <c r="BB17" s="107"/>
      <c r="BC17" s="107">
        <v>875.2481</v>
      </c>
      <c r="BD17" s="106">
        <v>858.3282</v>
      </c>
      <c r="BE17" s="107">
        <v>27.6</v>
      </c>
      <c r="BF17" s="107"/>
      <c r="BG17" s="107"/>
      <c r="BH17" s="107"/>
      <c r="BI17" s="107"/>
      <c r="BJ17" s="107">
        <v>867.02082</v>
      </c>
      <c r="BK17" s="107"/>
      <c r="BL17" s="107"/>
      <c r="BM17" s="107">
        <v>89.432</v>
      </c>
      <c r="BN17" s="107"/>
      <c r="BO17" s="107"/>
      <c r="BP17" s="107"/>
      <c r="BQ17" s="109"/>
      <c r="BR17" s="109"/>
      <c r="BS17" s="109"/>
      <c r="BT17" s="109"/>
      <c r="BU17" s="138"/>
    </row>
    <row r="18" spans="1:73" ht="38.25" customHeight="1" outlineLevel="2">
      <c r="A18" s="18" t="s">
        <v>887</v>
      </c>
      <c r="B18" s="18" t="s">
        <v>329</v>
      </c>
      <c r="C18" s="20" t="s">
        <v>1496</v>
      </c>
      <c r="D18" s="202" t="s">
        <v>2</v>
      </c>
      <c r="E18" s="203" t="s">
        <v>1853</v>
      </c>
      <c r="F18" s="108">
        <f t="shared" si="0"/>
        <v>412.93388</v>
      </c>
      <c r="G18" s="106">
        <f t="shared" si="1"/>
        <v>224.72768</v>
      </c>
      <c r="H18" s="106">
        <f t="shared" si="2"/>
        <v>188.2062</v>
      </c>
      <c r="I18" s="107"/>
      <c r="J18" s="107"/>
      <c r="K18" s="124">
        <v>52.96891</v>
      </c>
      <c r="L18" s="107">
        <v>5.5511</v>
      </c>
      <c r="M18" s="107">
        <v>46.68542</v>
      </c>
      <c r="N18" s="107"/>
      <c r="O18" s="106"/>
      <c r="P18" s="106"/>
      <c r="Q18" s="106"/>
      <c r="R18" s="106"/>
      <c r="S18" s="160"/>
      <c r="T18" s="107"/>
      <c r="U18" s="107"/>
      <c r="V18" s="107"/>
      <c r="W18" s="107"/>
      <c r="X18" s="107"/>
      <c r="Y18" s="107"/>
      <c r="Z18" s="106"/>
      <c r="AA18" s="159">
        <v>83.6053</v>
      </c>
      <c r="AB18" s="106">
        <v>49.51827</v>
      </c>
      <c r="AC18" s="107"/>
      <c r="AD18" s="107"/>
      <c r="AE18" s="107"/>
      <c r="AF18" s="107"/>
      <c r="AG18" s="107"/>
      <c r="AH18" s="107"/>
      <c r="AI18" s="107"/>
      <c r="AJ18" s="108">
        <v>0</v>
      </c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6"/>
      <c r="AZ18" s="107"/>
      <c r="BA18" s="107"/>
      <c r="BB18" s="107"/>
      <c r="BC18" s="107">
        <v>88.15347</v>
      </c>
      <c r="BD18" s="106">
        <v>86.45141</v>
      </c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9"/>
      <c r="BR18" s="109"/>
      <c r="BS18" s="109"/>
      <c r="BT18" s="109"/>
      <c r="BU18" s="138"/>
    </row>
    <row r="19" spans="1:73" ht="31.5" customHeight="1" outlineLevel="2">
      <c r="A19" s="18" t="s">
        <v>887</v>
      </c>
      <c r="B19" s="18" t="s">
        <v>681</v>
      </c>
      <c r="C19" s="20" t="s">
        <v>1496</v>
      </c>
      <c r="D19" s="202" t="s">
        <v>1461</v>
      </c>
      <c r="E19" s="203" t="s">
        <v>1866</v>
      </c>
      <c r="F19" s="108">
        <f t="shared" si="0"/>
        <v>1568.9265500000001</v>
      </c>
      <c r="G19" s="106">
        <f t="shared" si="1"/>
        <v>390.15115000000003</v>
      </c>
      <c r="H19" s="106">
        <f t="shared" si="2"/>
        <v>1178.7754</v>
      </c>
      <c r="I19" s="107"/>
      <c r="J19" s="107"/>
      <c r="K19" s="107"/>
      <c r="L19" s="107"/>
      <c r="M19" s="107">
        <v>212.19212</v>
      </c>
      <c r="N19" s="107"/>
      <c r="O19" s="106"/>
      <c r="P19" s="106"/>
      <c r="Q19" s="106"/>
      <c r="R19" s="106"/>
      <c r="S19" s="160"/>
      <c r="T19" s="107"/>
      <c r="U19" s="107"/>
      <c r="V19" s="107"/>
      <c r="W19" s="107"/>
      <c r="X19" s="107"/>
      <c r="Y19" s="107">
        <v>3.04</v>
      </c>
      <c r="Z19" s="106">
        <v>7.986</v>
      </c>
      <c r="AA19" s="159">
        <v>226.53653</v>
      </c>
      <c r="AB19" s="106">
        <v>148.55482</v>
      </c>
      <c r="AC19" s="107"/>
      <c r="AD19" s="107"/>
      <c r="AE19" s="107"/>
      <c r="AF19" s="107"/>
      <c r="AG19" s="107"/>
      <c r="AH19" s="107"/>
      <c r="AI19" s="107"/>
      <c r="AJ19" s="108">
        <v>26.34828</v>
      </c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6"/>
      <c r="AZ19" s="107"/>
      <c r="BA19" s="107"/>
      <c r="BB19" s="107"/>
      <c r="BC19" s="107">
        <v>160.57462</v>
      </c>
      <c r="BD19" s="106">
        <v>157.47095</v>
      </c>
      <c r="BE19" s="107"/>
      <c r="BF19" s="107"/>
      <c r="BG19" s="107"/>
      <c r="BH19" s="107"/>
      <c r="BI19" s="107"/>
      <c r="BJ19" s="107">
        <v>626.22323</v>
      </c>
      <c r="BK19" s="107"/>
      <c r="BL19" s="107"/>
      <c r="BM19" s="107"/>
      <c r="BN19" s="107"/>
      <c r="BO19" s="107"/>
      <c r="BP19" s="107"/>
      <c r="BQ19" s="109"/>
      <c r="BR19" s="109"/>
      <c r="BS19" s="109"/>
      <c r="BT19" s="109"/>
      <c r="BU19" s="138"/>
    </row>
    <row r="20" spans="1:73" ht="38.25" customHeight="1" outlineLevel="2">
      <c r="A20" s="18" t="s">
        <v>887</v>
      </c>
      <c r="B20" s="18" t="s">
        <v>21</v>
      </c>
      <c r="C20" s="20" t="s">
        <v>1496</v>
      </c>
      <c r="D20" s="202" t="s">
        <v>22</v>
      </c>
      <c r="E20" s="203" t="s">
        <v>1858</v>
      </c>
      <c r="F20" s="108">
        <f t="shared" si="0"/>
        <v>937.7755999999999</v>
      </c>
      <c r="G20" s="106">
        <f t="shared" si="1"/>
        <v>481.1574</v>
      </c>
      <c r="H20" s="106">
        <f t="shared" si="2"/>
        <v>456.6182</v>
      </c>
      <c r="I20" s="107"/>
      <c r="J20" s="107"/>
      <c r="K20" s="107"/>
      <c r="L20" s="107"/>
      <c r="M20" s="107"/>
      <c r="N20" s="107"/>
      <c r="O20" s="106"/>
      <c r="P20" s="106"/>
      <c r="Q20" s="106"/>
      <c r="R20" s="106"/>
      <c r="S20" s="160"/>
      <c r="T20" s="107"/>
      <c r="U20" s="107"/>
      <c r="V20" s="107"/>
      <c r="W20" s="107"/>
      <c r="X20" s="107"/>
      <c r="Y20" s="107"/>
      <c r="Z20" s="106"/>
      <c r="AA20" s="159">
        <v>234.74356</v>
      </c>
      <c r="AB20" s="106">
        <v>138.65116</v>
      </c>
      <c r="AC20" s="107"/>
      <c r="AD20" s="107"/>
      <c r="AE20" s="107"/>
      <c r="AF20" s="107"/>
      <c r="AG20" s="107"/>
      <c r="AH20" s="107"/>
      <c r="AI20" s="107"/>
      <c r="AJ20" s="108">
        <v>76.32276</v>
      </c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6"/>
      <c r="AZ20" s="107"/>
      <c r="BA20" s="107"/>
      <c r="BB20" s="107"/>
      <c r="BC20" s="107">
        <v>246.41384</v>
      </c>
      <c r="BD20" s="106">
        <v>241.64428</v>
      </c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9"/>
      <c r="BR20" s="109"/>
      <c r="BS20" s="109"/>
      <c r="BT20" s="109"/>
      <c r="BU20" s="138"/>
    </row>
    <row r="21" spans="1:73" ht="42" customHeight="1" outlineLevel="2">
      <c r="A21" s="18" t="s">
        <v>887</v>
      </c>
      <c r="B21" s="18" t="s">
        <v>3</v>
      </c>
      <c r="C21" s="20" t="s">
        <v>1496</v>
      </c>
      <c r="D21" s="202" t="s">
        <v>659</v>
      </c>
      <c r="E21" s="203" t="s">
        <v>1865</v>
      </c>
      <c r="F21" s="108">
        <f t="shared" si="0"/>
        <v>378.10257</v>
      </c>
      <c r="G21" s="106">
        <f t="shared" si="1"/>
        <v>146.82456</v>
      </c>
      <c r="H21" s="106">
        <f t="shared" si="2"/>
        <v>231.27801</v>
      </c>
      <c r="I21" s="107"/>
      <c r="J21" s="107"/>
      <c r="K21" s="107"/>
      <c r="L21" s="107"/>
      <c r="M21" s="107"/>
      <c r="N21" s="107"/>
      <c r="O21" s="106"/>
      <c r="P21" s="106"/>
      <c r="Q21" s="106"/>
      <c r="R21" s="106"/>
      <c r="S21" s="160"/>
      <c r="T21" s="107"/>
      <c r="U21" s="107"/>
      <c r="V21" s="107"/>
      <c r="W21" s="107"/>
      <c r="X21" s="107"/>
      <c r="Y21" s="107"/>
      <c r="Z21" s="106"/>
      <c r="AA21" s="159">
        <v>45.64258</v>
      </c>
      <c r="AB21" s="106">
        <v>39.61462</v>
      </c>
      <c r="AC21" s="107"/>
      <c r="AD21" s="107"/>
      <c r="AE21" s="107"/>
      <c r="AF21" s="107"/>
      <c r="AG21" s="107"/>
      <c r="AH21" s="107"/>
      <c r="AI21" s="107"/>
      <c r="AJ21" s="108">
        <v>29.56344</v>
      </c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6"/>
      <c r="AZ21" s="107"/>
      <c r="BA21" s="107">
        <v>62.874</v>
      </c>
      <c r="BB21" s="107"/>
      <c r="BC21" s="107">
        <v>101.18198</v>
      </c>
      <c r="BD21" s="106">
        <v>99.22595</v>
      </c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9"/>
      <c r="BR21" s="109"/>
      <c r="BS21" s="109"/>
      <c r="BT21" s="109"/>
      <c r="BU21" s="138"/>
    </row>
    <row r="22" spans="1:73" ht="44.25" customHeight="1" outlineLevel="2">
      <c r="A22" s="18" t="s">
        <v>887</v>
      </c>
      <c r="B22" s="18" t="s">
        <v>23</v>
      </c>
      <c r="C22" s="20" t="s">
        <v>1496</v>
      </c>
      <c r="D22" s="202" t="s">
        <v>24</v>
      </c>
      <c r="E22" s="203" t="s">
        <v>1849</v>
      </c>
      <c r="F22" s="108">
        <f t="shared" si="0"/>
        <v>30356.04342</v>
      </c>
      <c r="G22" s="106">
        <f t="shared" si="1"/>
        <v>14135.085439999999</v>
      </c>
      <c r="H22" s="106">
        <f t="shared" si="2"/>
        <v>16220.957980000003</v>
      </c>
      <c r="I22" s="107">
        <v>8773.34979</v>
      </c>
      <c r="J22" s="110">
        <v>3052.72876</v>
      </c>
      <c r="K22" s="107"/>
      <c r="L22" s="107"/>
      <c r="M22" s="107"/>
      <c r="N22" s="107">
        <v>4818.8301</v>
      </c>
      <c r="O22" s="106"/>
      <c r="P22" s="106"/>
      <c r="Q22" s="106"/>
      <c r="R22" s="106"/>
      <c r="S22" s="160"/>
      <c r="T22" s="107"/>
      <c r="U22" s="107"/>
      <c r="V22" s="107"/>
      <c r="W22" s="107">
        <f>372.54497+1010.77267</f>
        <v>1383.31764</v>
      </c>
      <c r="X22" s="107">
        <f>194.49456+527.69411</f>
        <v>722.18867</v>
      </c>
      <c r="Y22" s="107">
        <v>68.4</v>
      </c>
      <c r="Z22" s="106">
        <v>223.245</v>
      </c>
      <c r="AA22" s="159">
        <f>274.0965+204.33929</f>
        <v>478.43579</v>
      </c>
      <c r="AB22" s="106">
        <f>154.10086+114.88239</f>
        <v>268.98325</v>
      </c>
      <c r="AC22" s="107"/>
      <c r="AD22" s="107"/>
      <c r="AE22" s="107"/>
      <c r="AF22" s="107"/>
      <c r="AG22" s="107">
        <v>44.325</v>
      </c>
      <c r="AH22" s="107"/>
      <c r="AI22" s="107"/>
      <c r="AJ22" s="108">
        <v>301.69728</v>
      </c>
      <c r="AK22" s="107">
        <v>31.2024</v>
      </c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>
        <v>1536.08</v>
      </c>
      <c r="AY22" s="106">
        <v>1077.86643</v>
      </c>
      <c r="AZ22" s="107"/>
      <c r="BA22" s="107">
        <f>1149.43539+1673.41399</f>
        <v>2822.84938</v>
      </c>
      <c r="BB22" s="107"/>
      <c r="BC22" s="107">
        <v>1895.50222</v>
      </c>
      <c r="BD22" s="106">
        <v>1858.86958</v>
      </c>
      <c r="BE22" s="107">
        <v>675</v>
      </c>
      <c r="BF22" s="107"/>
      <c r="BG22" s="107"/>
      <c r="BH22" s="107"/>
      <c r="BI22" s="107"/>
      <c r="BJ22" s="107"/>
      <c r="BK22" s="107"/>
      <c r="BL22" s="107"/>
      <c r="BM22" s="107">
        <v>323.17213</v>
      </c>
      <c r="BN22" s="107"/>
      <c r="BO22" s="107"/>
      <c r="BP22" s="107"/>
      <c r="BQ22" s="109"/>
      <c r="BR22" s="109"/>
      <c r="BS22" s="109"/>
      <c r="BT22" s="109"/>
      <c r="BU22" s="138"/>
    </row>
    <row r="23" spans="1:73" ht="39.75" customHeight="1" outlineLevel="2">
      <c r="A23" s="18" t="s">
        <v>887</v>
      </c>
      <c r="B23" s="18" t="s">
        <v>1157</v>
      </c>
      <c r="C23" s="20" t="s">
        <v>1496</v>
      </c>
      <c r="D23" s="202" t="s">
        <v>1295</v>
      </c>
      <c r="E23" s="203" t="s">
        <v>1867</v>
      </c>
      <c r="F23" s="108">
        <f t="shared" si="0"/>
        <v>437.48122</v>
      </c>
      <c r="G23" s="106">
        <f t="shared" si="1"/>
        <v>203.44835999999998</v>
      </c>
      <c r="H23" s="106">
        <f t="shared" si="2"/>
        <v>234.03286</v>
      </c>
      <c r="I23" s="107"/>
      <c r="J23" s="107"/>
      <c r="K23" s="107"/>
      <c r="L23" s="107"/>
      <c r="M23" s="107"/>
      <c r="N23" s="107"/>
      <c r="O23" s="106"/>
      <c r="P23" s="106"/>
      <c r="Q23" s="106"/>
      <c r="R23" s="106"/>
      <c r="S23" s="160"/>
      <c r="T23" s="107"/>
      <c r="U23" s="107"/>
      <c r="V23" s="107"/>
      <c r="W23" s="107"/>
      <c r="X23" s="107"/>
      <c r="Y23" s="107"/>
      <c r="Z23" s="106">
        <v>79.86</v>
      </c>
      <c r="AA23" s="159">
        <v>180.34872</v>
      </c>
      <c r="AB23" s="106">
        <v>127.75714</v>
      </c>
      <c r="AC23" s="107"/>
      <c r="AD23" s="107"/>
      <c r="AE23" s="107"/>
      <c r="AF23" s="107"/>
      <c r="AG23" s="107"/>
      <c r="AH23" s="107"/>
      <c r="AI23" s="107"/>
      <c r="AJ23" s="108">
        <v>3.76404</v>
      </c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6"/>
      <c r="AZ23" s="107"/>
      <c r="BA23" s="107"/>
      <c r="BB23" s="107"/>
      <c r="BC23" s="107">
        <v>23.09964</v>
      </c>
      <c r="BD23" s="106">
        <v>22.65168</v>
      </c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9"/>
      <c r="BR23" s="109"/>
      <c r="BS23" s="109"/>
      <c r="BT23" s="109"/>
      <c r="BU23" s="138"/>
    </row>
    <row r="24" spans="1:73" ht="34.5" customHeight="1" outlineLevel="2">
      <c r="A24" s="18" t="s">
        <v>887</v>
      </c>
      <c r="B24" s="18" t="s">
        <v>1505</v>
      </c>
      <c r="C24" s="20" t="s">
        <v>1496</v>
      </c>
      <c r="D24" s="202" t="s">
        <v>1040</v>
      </c>
      <c r="E24" s="203" t="s">
        <v>1851</v>
      </c>
      <c r="F24" s="108">
        <f t="shared" si="0"/>
        <v>356.82708</v>
      </c>
      <c r="G24" s="106">
        <f t="shared" si="1"/>
        <v>152.94057</v>
      </c>
      <c r="H24" s="106">
        <f t="shared" si="2"/>
        <v>203.88651</v>
      </c>
      <c r="I24" s="107"/>
      <c r="J24" s="107"/>
      <c r="K24" s="107"/>
      <c r="L24" s="107"/>
      <c r="M24" s="107">
        <v>28.64206</v>
      </c>
      <c r="N24" s="107"/>
      <c r="O24" s="106"/>
      <c r="P24" s="106"/>
      <c r="Q24" s="106"/>
      <c r="R24" s="106"/>
      <c r="S24" s="160"/>
      <c r="T24" s="107"/>
      <c r="U24" s="107"/>
      <c r="V24" s="107"/>
      <c r="W24" s="107"/>
      <c r="X24" s="107"/>
      <c r="Y24" s="107">
        <v>3.36713</v>
      </c>
      <c r="Z24" s="106">
        <v>15.972</v>
      </c>
      <c r="AA24" s="159">
        <v>63.04451</v>
      </c>
      <c r="AB24" s="106">
        <v>43.57608</v>
      </c>
      <c r="AC24" s="107"/>
      <c r="AD24" s="107"/>
      <c r="AE24" s="107"/>
      <c r="AF24" s="107"/>
      <c r="AG24" s="107">
        <v>3.4278</v>
      </c>
      <c r="AH24" s="107"/>
      <c r="AI24" s="107"/>
      <c r="AJ24" s="108">
        <v>27.41256</v>
      </c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6"/>
      <c r="AZ24" s="107"/>
      <c r="BA24" s="107"/>
      <c r="BB24" s="107"/>
      <c r="BC24" s="107">
        <v>86.52893</v>
      </c>
      <c r="BD24" s="106">
        <v>84.85601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9"/>
      <c r="BR24" s="109"/>
      <c r="BS24" s="109"/>
      <c r="BT24" s="109"/>
      <c r="BU24" s="138"/>
    </row>
    <row r="25" spans="1:73" ht="33.75" customHeight="1" outlineLevel="2">
      <c r="A25" s="18" t="s">
        <v>887</v>
      </c>
      <c r="B25" s="18" t="s">
        <v>932</v>
      </c>
      <c r="C25" s="20" t="s">
        <v>1496</v>
      </c>
      <c r="D25" s="202" t="s">
        <v>933</v>
      </c>
      <c r="E25" s="203" t="s">
        <v>1861</v>
      </c>
      <c r="F25" s="108">
        <f t="shared" si="0"/>
        <v>2368.8818</v>
      </c>
      <c r="G25" s="106">
        <f t="shared" si="1"/>
        <v>1256.3899000000001</v>
      </c>
      <c r="H25" s="106">
        <f t="shared" si="2"/>
        <v>1112.4919</v>
      </c>
      <c r="I25" s="107"/>
      <c r="J25" s="107"/>
      <c r="K25" s="107">
        <v>74.55931</v>
      </c>
      <c r="L25" s="107">
        <v>9.12749</v>
      </c>
      <c r="M25" s="107"/>
      <c r="N25" s="107"/>
      <c r="O25" s="106"/>
      <c r="P25" s="106"/>
      <c r="Q25" s="106"/>
      <c r="R25" s="106"/>
      <c r="S25" s="160"/>
      <c r="T25" s="107"/>
      <c r="U25" s="107"/>
      <c r="V25" s="107"/>
      <c r="W25" s="107"/>
      <c r="X25" s="107"/>
      <c r="Y25" s="107">
        <v>12.62675</v>
      </c>
      <c r="Z25" s="106">
        <v>59.895</v>
      </c>
      <c r="AA25" s="159">
        <v>522.11144</v>
      </c>
      <c r="AB25" s="106">
        <v>297.10964</v>
      </c>
      <c r="AC25" s="107"/>
      <c r="AD25" s="107"/>
      <c r="AE25" s="107"/>
      <c r="AF25" s="107"/>
      <c r="AG25" s="107"/>
      <c r="AH25" s="107"/>
      <c r="AI25" s="107"/>
      <c r="AJ25" s="108">
        <v>111.80112</v>
      </c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6"/>
      <c r="AZ25" s="107"/>
      <c r="BA25" s="107"/>
      <c r="BB25" s="107"/>
      <c r="BC25" s="107">
        <v>647.0924</v>
      </c>
      <c r="BD25" s="106">
        <v>634.55865</v>
      </c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9"/>
      <c r="BR25" s="109"/>
      <c r="BS25" s="109"/>
      <c r="BT25" s="109"/>
      <c r="BU25" s="138"/>
    </row>
    <row r="26" spans="1:73" s="16" customFormat="1" ht="42" customHeight="1" outlineLevel="2">
      <c r="A26" s="18" t="s">
        <v>887</v>
      </c>
      <c r="B26" s="19" t="s">
        <v>852</v>
      </c>
      <c r="C26" s="20" t="s">
        <v>710</v>
      </c>
      <c r="D26" s="204">
        <v>240101443793</v>
      </c>
      <c r="E26" s="203" t="s">
        <v>1879</v>
      </c>
      <c r="F26" s="108">
        <f t="shared" si="0"/>
        <v>235.23458</v>
      </c>
      <c r="G26" s="106">
        <f t="shared" si="1"/>
        <v>108.83457000000001</v>
      </c>
      <c r="H26" s="106">
        <f t="shared" si="2"/>
        <v>126.40000999999998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>
        <v>19.76</v>
      </c>
      <c r="Z26" s="106">
        <v>51.909</v>
      </c>
      <c r="AA26" s="159">
        <v>46.15447</v>
      </c>
      <c r="AB26" s="106">
        <v>29.71096</v>
      </c>
      <c r="AC26" s="106"/>
      <c r="AD26" s="106"/>
      <c r="AE26" s="106"/>
      <c r="AF26" s="106"/>
      <c r="AG26" s="106"/>
      <c r="AH26" s="106"/>
      <c r="AI26" s="106"/>
      <c r="AJ26" s="108">
        <v>2.6886</v>
      </c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>
        <v>42.9201</v>
      </c>
      <c r="BD26" s="106">
        <v>42.09145</v>
      </c>
      <c r="BE26" s="106"/>
      <c r="BF26" s="106"/>
      <c r="BG26" s="106"/>
      <c r="BH26" s="106"/>
      <c r="BI26" s="111"/>
      <c r="BJ26" s="106"/>
      <c r="BK26" s="106"/>
      <c r="BL26" s="111"/>
      <c r="BM26" s="111"/>
      <c r="BN26" s="111"/>
      <c r="BO26" s="111"/>
      <c r="BP26" s="111"/>
      <c r="BQ26" s="109"/>
      <c r="BR26" s="109"/>
      <c r="BS26" s="109"/>
      <c r="BT26" s="109"/>
      <c r="BU26" s="109"/>
    </row>
    <row r="27" spans="1:73" s="16" customFormat="1" ht="37.5" customHeight="1" outlineLevel="2">
      <c r="A27" s="18" t="s">
        <v>887</v>
      </c>
      <c r="B27" s="19" t="s">
        <v>1777</v>
      </c>
      <c r="C27" s="20" t="s">
        <v>587</v>
      </c>
      <c r="D27" s="204">
        <v>240102389404</v>
      </c>
      <c r="E27" s="203" t="s">
        <v>1880</v>
      </c>
      <c r="F27" s="108">
        <f t="shared" si="0"/>
        <v>1750</v>
      </c>
      <c r="G27" s="106">
        <f t="shared" si="1"/>
        <v>0</v>
      </c>
      <c r="H27" s="106">
        <f t="shared" si="2"/>
        <v>1750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59"/>
      <c r="AB27" s="106"/>
      <c r="AC27" s="106"/>
      <c r="AD27" s="106"/>
      <c r="AE27" s="106"/>
      <c r="AF27" s="106"/>
      <c r="AG27" s="106"/>
      <c r="AH27" s="106"/>
      <c r="AI27" s="106"/>
      <c r="AJ27" s="108">
        <v>0</v>
      </c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11"/>
      <c r="BJ27" s="106"/>
      <c r="BK27" s="106"/>
      <c r="BL27" s="111"/>
      <c r="BM27" s="111"/>
      <c r="BN27" s="111"/>
      <c r="BO27" s="111"/>
      <c r="BP27" s="111"/>
      <c r="BQ27" s="109">
        <v>250</v>
      </c>
      <c r="BR27" s="109"/>
      <c r="BS27" s="109">
        <v>1500</v>
      </c>
      <c r="BT27" s="109"/>
      <c r="BU27" s="109"/>
    </row>
    <row r="28" spans="1:73" s="16" customFormat="1" ht="37.5" customHeight="1" outlineLevel="2">
      <c r="A28" s="18" t="s">
        <v>887</v>
      </c>
      <c r="B28" s="19" t="s">
        <v>385</v>
      </c>
      <c r="C28" s="20" t="s">
        <v>587</v>
      </c>
      <c r="D28" s="204">
        <v>246208874176</v>
      </c>
      <c r="E28" s="205" t="s">
        <v>1881</v>
      </c>
      <c r="F28" s="108">
        <f t="shared" si="0"/>
        <v>158.07834</v>
      </c>
      <c r="G28" s="106">
        <f t="shared" si="1"/>
        <v>84.50567</v>
      </c>
      <c r="H28" s="106">
        <f t="shared" si="2"/>
        <v>73.57267</v>
      </c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59">
        <v>29.678</v>
      </c>
      <c r="AB28" s="106">
        <v>19.80731</v>
      </c>
      <c r="AC28" s="106"/>
      <c r="AD28" s="106"/>
      <c r="AE28" s="106"/>
      <c r="AF28" s="106"/>
      <c r="AG28" s="106"/>
      <c r="AH28" s="106"/>
      <c r="AI28" s="106"/>
      <c r="AJ28" s="108">
        <v>0</v>
      </c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>
        <v>54.82767</v>
      </c>
      <c r="BD28" s="106">
        <v>53.76536</v>
      </c>
      <c r="BE28" s="106"/>
      <c r="BF28" s="106"/>
      <c r="BG28" s="106"/>
      <c r="BH28" s="106"/>
      <c r="BI28" s="111"/>
      <c r="BJ28" s="106"/>
      <c r="BK28" s="106"/>
      <c r="BL28" s="111"/>
      <c r="BM28" s="111"/>
      <c r="BN28" s="111"/>
      <c r="BO28" s="111"/>
      <c r="BP28" s="111"/>
      <c r="BQ28" s="109"/>
      <c r="BR28" s="109"/>
      <c r="BS28" s="109"/>
      <c r="BT28" s="109"/>
      <c r="BU28" s="109"/>
    </row>
    <row r="29" spans="1:73" s="16" customFormat="1" ht="37.5" customHeight="1" outlineLevel="2">
      <c r="A29" s="18" t="s">
        <v>887</v>
      </c>
      <c r="B29" s="19" t="s">
        <v>1288</v>
      </c>
      <c r="C29" s="20" t="s">
        <v>587</v>
      </c>
      <c r="D29" s="204">
        <v>240100814967</v>
      </c>
      <c r="E29" s="205" t="s">
        <v>1882</v>
      </c>
      <c r="F29" s="108">
        <f t="shared" si="0"/>
        <v>423.54731999999996</v>
      </c>
      <c r="G29" s="106">
        <f t="shared" si="1"/>
        <v>293.44277999999997</v>
      </c>
      <c r="H29" s="106">
        <f t="shared" si="2"/>
        <v>130.10454</v>
      </c>
      <c r="I29" s="106"/>
      <c r="J29" s="106"/>
      <c r="K29" s="106"/>
      <c r="L29" s="106"/>
      <c r="M29" s="106"/>
      <c r="N29" s="106"/>
      <c r="O29" s="106">
        <v>140.17819</v>
      </c>
      <c r="P29" s="106">
        <v>5.6426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59">
        <v>82.9028</v>
      </c>
      <c r="AB29" s="106">
        <v>55.46047</v>
      </c>
      <c r="AC29" s="106"/>
      <c r="AD29" s="106"/>
      <c r="AE29" s="106"/>
      <c r="AF29" s="106"/>
      <c r="AG29" s="106"/>
      <c r="AH29" s="106"/>
      <c r="AI29" s="106"/>
      <c r="AJ29" s="108">
        <v>0</v>
      </c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>
        <v>70.36179</v>
      </c>
      <c r="BD29" s="106">
        <v>69.00147</v>
      </c>
      <c r="BE29" s="106"/>
      <c r="BF29" s="106"/>
      <c r="BG29" s="106"/>
      <c r="BH29" s="106"/>
      <c r="BI29" s="111"/>
      <c r="BJ29" s="106"/>
      <c r="BK29" s="106"/>
      <c r="BL29" s="111"/>
      <c r="BM29" s="111"/>
      <c r="BN29" s="111"/>
      <c r="BO29" s="111"/>
      <c r="BP29" s="111"/>
      <c r="BQ29" s="109"/>
      <c r="BR29" s="109"/>
      <c r="BS29" s="109"/>
      <c r="BT29" s="109"/>
      <c r="BU29" s="109"/>
    </row>
    <row r="30" spans="1:73" s="16" customFormat="1" ht="37.5" customHeight="1" outlineLevel="2">
      <c r="A30" s="18" t="s">
        <v>887</v>
      </c>
      <c r="B30" s="22" t="s">
        <v>848</v>
      </c>
      <c r="C30" s="20" t="s">
        <v>587</v>
      </c>
      <c r="D30" s="204">
        <v>240100024704</v>
      </c>
      <c r="E30" s="205" t="s">
        <v>1883</v>
      </c>
      <c r="F30" s="108">
        <f t="shared" si="0"/>
        <v>961.42663</v>
      </c>
      <c r="G30" s="106">
        <f t="shared" si="1"/>
        <v>390.65778</v>
      </c>
      <c r="H30" s="106">
        <f t="shared" si="2"/>
        <v>570.76885</v>
      </c>
      <c r="I30" s="106"/>
      <c r="J30" s="106"/>
      <c r="K30" s="106">
        <v>170.7486</v>
      </c>
      <c r="L30" s="106">
        <v>48.95795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59">
        <v>94.26217</v>
      </c>
      <c r="AB30" s="106">
        <v>63.38339</v>
      </c>
      <c r="AC30" s="106"/>
      <c r="AD30" s="106"/>
      <c r="AE30" s="106"/>
      <c r="AF30" s="106"/>
      <c r="AG30" s="106"/>
      <c r="AH30" s="106"/>
      <c r="AI30" s="106"/>
      <c r="AJ30" s="108">
        <v>0</v>
      </c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>
        <v>125.64701</v>
      </c>
      <c r="BD30" s="106">
        <v>123.21487</v>
      </c>
      <c r="BE30" s="106"/>
      <c r="BF30" s="106"/>
      <c r="BG30" s="106"/>
      <c r="BH30" s="106"/>
      <c r="BI30" s="111"/>
      <c r="BJ30" s="106">
        <v>335.21264</v>
      </c>
      <c r="BK30" s="106"/>
      <c r="BL30" s="111"/>
      <c r="BM30" s="111"/>
      <c r="BN30" s="111"/>
      <c r="BO30" s="111"/>
      <c r="BP30" s="111"/>
      <c r="BQ30" s="109"/>
      <c r="BR30" s="109"/>
      <c r="BS30" s="109"/>
      <c r="BT30" s="109"/>
      <c r="BU30" s="109"/>
    </row>
    <row r="31" spans="1:73" s="16" customFormat="1" ht="37.5" customHeight="1" outlineLevel="2">
      <c r="A31" s="18" t="s">
        <v>887</v>
      </c>
      <c r="B31" s="18" t="s">
        <v>1287</v>
      </c>
      <c r="C31" s="20" t="s">
        <v>587</v>
      </c>
      <c r="D31" s="204">
        <v>240101591745</v>
      </c>
      <c r="E31" s="205" t="s">
        <v>1884</v>
      </c>
      <c r="F31" s="108">
        <f t="shared" si="0"/>
        <v>738.5206499999999</v>
      </c>
      <c r="G31" s="106">
        <f t="shared" si="1"/>
        <v>139.63374</v>
      </c>
      <c r="H31" s="106">
        <f t="shared" si="2"/>
        <v>598.88691</v>
      </c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59">
        <v>45.9848</v>
      </c>
      <c r="AB31" s="106">
        <v>29.71096</v>
      </c>
      <c r="AC31" s="106"/>
      <c r="AD31" s="106"/>
      <c r="AE31" s="106"/>
      <c r="AF31" s="106"/>
      <c r="AG31" s="106"/>
      <c r="AH31" s="106"/>
      <c r="AI31" s="106"/>
      <c r="AJ31" s="108">
        <v>24.186239999999998</v>
      </c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>
        <v>65.69325</v>
      </c>
      <c r="BB31" s="106"/>
      <c r="BC31" s="106">
        <v>93.64894</v>
      </c>
      <c r="BD31" s="106">
        <v>91.84156</v>
      </c>
      <c r="BE31" s="106"/>
      <c r="BF31" s="106"/>
      <c r="BG31" s="106"/>
      <c r="BH31" s="106"/>
      <c r="BI31" s="111"/>
      <c r="BJ31" s="106">
        <v>387.4549</v>
      </c>
      <c r="BK31" s="106"/>
      <c r="BL31" s="111"/>
      <c r="BM31" s="111"/>
      <c r="BN31" s="111"/>
      <c r="BO31" s="111"/>
      <c r="BP31" s="111"/>
      <c r="BQ31" s="109"/>
      <c r="BR31" s="109"/>
      <c r="BS31" s="109"/>
      <c r="BT31" s="109"/>
      <c r="BU31" s="109"/>
    </row>
    <row r="32" spans="1:73" s="194" customFormat="1" ht="37.5" customHeight="1" outlineLevel="2">
      <c r="A32" s="192" t="s">
        <v>887</v>
      </c>
      <c r="B32" s="192" t="s">
        <v>1289</v>
      </c>
      <c r="C32" s="187" t="s">
        <v>587</v>
      </c>
      <c r="D32" s="206">
        <v>240100999838</v>
      </c>
      <c r="E32" s="207" t="s">
        <v>1885</v>
      </c>
      <c r="F32" s="177">
        <f t="shared" si="0"/>
        <v>9307.540219999999</v>
      </c>
      <c r="G32" s="106">
        <f t="shared" si="1"/>
        <v>465.84369000000004</v>
      </c>
      <c r="H32" s="106">
        <f t="shared" si="2"/>
        <v>8841.69653</v>
      </c>
      <c r="I32" s="178"/>
      <c r="J32" s="188"/>
      <c r="K32" s="178"/>
      <c r="L32" s="178"/>
      <c r="M32" s="178"/>
      <c r="N32" s="178"/>
      <c r="O32" s="178">
        <v>30.11288</v>
      </c>
      <c r="P32" s="178">
        <v>1.58489</v>
      </c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89">
        <v>90.49138</v>
      </c>
      <c r="AB32" s="178">
        <v>59.42193</v>
      </c>
      <c r="AC32" s="178"/>
      <c r="AD32" s="178"/>
      <c r="AE32" s="178"/>
      <c r="AF32" s="178"/>
      <c r="AG32" s="178"/>
      <c r="AH32" s="178"/>
      <c r="AI32" s="178"/>
      <c r="AJ32" s="177">
        <v>0</v>
      </c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>
        <v>36.54</v>
      </c>
      <c r="BA32" s="178"/>
      <c r="BB32" s="178"/>
      <c r="BC32" s="178">
        <v>345.23943</v>
      </c>
      <c r="BD32" s="178">
        <v>338.56063</v>
      </c>
      <c r="BE32" s="178"/>
      <c r="BF32" s="178"/>
      <c r="BG32" s="178"/>
      <c r="BH32" s="178"/>
      <c r="BI32" s="193"/>
      <c r="BJ32" s="178">
        <v>43.08908</v>
      </c>
      <c r="BK32" s="178"/>
      <c r="BL32" s="193"/>
      <c r="BM32" s="193"/>
      <c r="BN32" s="193"/>
      <c r="BO32" s="193"/>
      <c r="BP32" s="193"/>
      <c r="BQ32" s="190"/>
      <c r="BR32" s="190"/>
      <c r="BS32" s="190"/>
      <c r="BT32" s="190"/>
      <c r="BU32" s="190">
        <v>8362.5</v>
      </c>
    </row>
    <row r="33" spans="1:73" s="16" customFormat="1" ht="37.5" customHeight="1" outlineLevel="2">
      <c r="A33" s="18" t="s">
        <v>887</v>
      </c>
      <c r="B33" s="18" t="s">
        <v>1778</v>
      </c>
      <c r="C33" s="20" t="s">
        <v>587</v>
      </c>
      <c r="D33" s="204">
        <v>240102485933</v>
      </c>
      <c r="E33" s="205" t="s">
        <v>1886</v>
      </c>
      <c r="F33" s="108">
        <f t="shared" si="0"/>
        <v>1194.55</v>
      </c>
      <c r="G33" s="106">
        <f t="shared" si="1"/>
        <v>0</v>
      </c>
      <c r="H33" s="106">
        <f t="shared" si="2"/>
        <v>1194.55</v>
      </c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59"/>
      <c r="AB33" s="106"/>
      <c r="AC33" s="106"/>
      <c r="AD33" s="106"/>
      <c r="AE33" s="106"/>
      <c r="AF33" s="106"/>
      <c r="AG33" s="106"/>
      <c r="AH33" s="106"/>
      <c r="AI33" s="106"/>
      <c r="AJ33" s="108">
        <v>0</v>
      </c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11"/>
      <c r="BJ33" s="106"/>
      <c r="BK33" s="106"/>
      <c r="BL33" s="111"/>
      <c r="BM33" s="111"/>
      <c r="BN33" s="111"/>
      <c r="BO33" s="111"/>
      <c r="BP33" s="111"/>
      <c r="BQ33" s="109"/>
      <c r="BR33" s="109"/>
      <c r="BS33" s="109">
        <v>1194.55</v>
      </c>
      <c r="BT33" s="109"/>
      <c r="BU33" s="109"/>
    </row>
    <row r="34" spans="1:73" s="16" customFormat="1" ht="37.5" customHeight="1" outlineLevel="2">
      <c r="A34" s="18" t="s">
        <v>887</v>
      </c>
      <c r="B34" s="18" t="s">
        <v>899</v>
      </c>
      <c r="C34" s="20" t="s">
        <v>587</v>
      </c>
      <c r="D34" s="202" t="s">
        <v>711</v>
      </c>
      <c r="E34" s="208" t="s">
        <v>1887</v>
      </c>
      <c r="F34" s="108">
        <f t="shared" si="0"/>
        <v>200.72417000000002</v>
      </c>
      <c r="G34" s="106">
        <f t="shared" si="1"/>
        <v>107.81037</v>
      </c>
      <c r="H34" s="106">
        <f t="shared" si="2"/>
        <v>92.91380000000001</v>
      </c>
      <c r="I34" s="107"/>
      <c r="J34" s="107"/>
      <c r="K34" s="107"/>
      <c r="L34" s="107"/>
      <c r="M34" s="107"/>
      <c r="N34" s="107"/>
      <c r="O34" s="106"/>
      <c r="P34" s="106"/>
      <c r="Q34" s="106"/>
      <c r="R34" s="106"/>
      <c r="S34" s="106"/>
      <c r="T34" s="107"/>
      <c r="U34" s="107"/>
      <c r="V34" s="107"/>
      <c r="W34" s="107"/>
      <c r="X34" s="107"/>
      <c r="Y34" s="106"/>
      <c r="Z34" s="106"/>
      <c r="AA34" s="159">
        <v>53.46135</v>
      </c>
      <c r="AB34" s="106">
        <v>39.61462</v>
      </c>
      <c r="AC34" s="107"/>
      <c r="AD34" s="107"/>
      <c r="AE34" s="107"/>
      <c r="AF34" s="107"/>
      <c r="AG34" s="107"/>
      <c r="AH34" s="107"/>
      <c r="AI34" s="107"/>
      <c r="AJ34" s="108">
        <v>0</v>
      </c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6"/>
      <c r="AZ34" s="107"/>
      <c r="BA34" s="107"/>
      <c r="BB34" s="107"/>
      <c r="BC34" s="107">
        <v>54.34902</v>
      </c>
      <c r="BD34" s="106">
        <v>53.29918</v>
      </c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9"/>
      <c r="BR34" s="109"/>
      <c r="BS34" s="109"/>
      <c r="BT34" s="109"/>
      <c r="BU34" s="109"/>
    </row>
    <row r="35" spans="1:73" s="16" customFormat="1" ht="37.5" customHeight="1" outlineLevel="2">
      <c r="A35" s="18" t="s">
        <v>887</v>
      </c>
      <c r="B35" s="18" t="s">
        <v>1743</v>
      </c>
      <c r="C35" s="20" t="s">
        <v>587</v>
      </c>
      <c r="D35" s="209" t="s">
        <v>1786</v>
      </c>
      <c r="E35" s="210" t="s">
        <v>1888</v>
      </c>
      <c r="F35" s="108">
        <f t="shared" si="0"/>
        <v>16.20083</v>
      </c>
      <c r="G35" s="106">
        <f t="shared" si="1"/>
        <v>8.67405</v>
      </c>
      <c r="H35" s="106">
        <f t="shared" si="2"/>
        <v>7.52678</v>
      </c>
      <c r="I35" s="107"/>
      <c r="J35" s="107"/>
      <c r="K35" s="107"/>
      <c r="L35" s="107"/>
      <c r="M35" s="107"/>
      <c r="N35" s="107"/>
      <c r="O35" s="106"/>
      <c r="P35" s="106"/>
      <c r="Q35" s="106"/>
      <c r="R35" s="106"/>
      <c r="S35" s="106"/>
      <c r="T35" s="107"/>
      <c r="U35" s="107"/>
      <c r="V35" s="107"/>
      <c r="W35" s="107"/>
      <c r="X35" s="107"/>
      <c r="Y35" s="106"/>
      <c r="Z35" s="106"/>
      <c r="AA35" s="159">
        <v>8.67405</v>
      </c>
      <c r="AB35" s="106">
        <v>7.52678</v>
      </c>
      <c r="AC35" s="107"/>
      <c r="AD35" s="107"/>
      <c r="AE35" s="107"/>
      <c r="AF35" s="107"/>
      <c r="AG35" s="107"/>
      <c r="AH35" s="107"/>
      <c r="AI35" s="107"/>
      <c r="AJ35" s="108">
        <v>0</v>
      </c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6"/>
      <c r="AZ35" s="107"/>
      <c r="BA35" s="107"/>
      <c r="BB35" s="107"/>
      <c r="BC35" s="107"/>
      <c r="BD35" s="106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9"/>
      <c r="BR35" s="109"/>
      <c r="BS35" s="109"/>
      <c r="BT35" s="109"/>
      <c r="BU35" s="109"/>
    </row>
    <row r="36" spans="1:73" s="16" customFormat="1" ht="37.5" customHeight="1" outlineLevel="2">
      <c r="A36" s="18" t="s">
        <v>887</v>
      </c>
      <c r="B36" s="18" t="s">
        <v>1271</v>
      </c>
      <c r="C36" s="20" t="s">
        <v>587</v>
      </c>
      <c r="D36" s="211">
        <v>240101408005</v>
      </c>
      <c r="E36" s="212" t="s">
        <v>1889</v>
      </c>
      <c r="F36" s="108">
        <f t="shared" si="0"/>
        <v>4044.79458</v>
      </c>
      <c r="G36" s="106">
        <f t="shared" si="1"/>
        <v>364.93341</v>
      </c>
      <c r="H36" s="106">
        <f t="shared" si="2"/>
        <v>3679.86117</v>
      </c>
      <c r="I36" s="106"/>
      <c r="J36" s="106"/>
      <c r="K36" s="106">
        <v>165.84312</v>
      </c>
      <c r="L36" s="106">
        <v>82.92158</v>
      </c>
      <c r="M36" s="106">
        <v>352.53799</v>
      </c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59">
        <v>119.0676</v>
      </c>
      <c r="AB36" s="106">
        <v>79.22924</v>
      </c>
      <c r="AC36" s="106"/>
      <c r="AD36" s="106"/>
      <c r="AE36" s="106"/>
      <c r="AF36" s="106"/>
      <c r="AG36" s="106"/>
      <c r="AH36" s="106"/>
      <c r="AI36" s="106"/>
      <c r="AJ36" s="108">
        <v>0</v>
      </c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7">
        <v>80.02269</v>
      </c>
      <c r="BD36" s="107">
        <v>78.46562</v>
      </c>
      <c r="BE36" s="106"/>
      <c r="BF36" s="106"/>
      <c r="BG36" s="106"/>
      <c r="BH36" s="106"/>
      <c r="BI36" s="111"/>
      <c r="BJ36" s="106">
        <v>2349.23924</v>
      </c>
      <c r="BK36" s="106"/>
      <c r="BL36" s="111"/>
      <c r="BM36" s="106">
        <v>737.4675</v>
      </c>
      <c r="BN36" s="111"/>
      <c r="BO36" s="111"/>
      <c r="BP36" s="111"/>
      <c r="BQ36" s="109"/>
      <c r="BR36" s="109"/>
      <c r="BS36" s="109"/>
      <c r="BT36" s="109"/>
      <c r="BU36" s="109"/>
    </row>
    <row r="37" spans="1:73" s="16" customFormat="1" ht="37.5" customHeight="1" outlineLevel="2">
      <c r="A37" s="18" t="s">
        <v>887</v>
      </c>
      <c r="B37" s="18" t="s">
        <v>386</v>
      </c>
      <c r="C37" s="20" t="s">
        <v>587</v>
      </c>
      <c r="D37" s="204">
        <v>240102234471</v>
      </c>
      <c r="E37" s="205" t="s">
        <v>1824</v>
      </c>
      <c r="F37" s="108">
        <f t="shared" si="0"/>
        <v>113.30270999999999</v>
      </c>
      <c r="G37" s="106">
        <f t="shared" si="1"/>
        <v>61.41554</v>
      </c>
      <c r="H37" s="106">
        <f t="shared" si="2"/>
        <v>51.88717</v>
      </c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>
        <v>34.55937</v>
      </c>
      <c r="AB37" s="106">
        <v>25.55143</v>
      </c>
      <c r="AC37" s="106"/>
      <c r="AD37" s="106"/>
      <c r="AE37" s="106"/>
      <c r="AF37" s="106"/>
      <c r="AG37" s="106"/>
      <c r="AH37" s="106"/>
      <c r="AI37" s="106"/>
      <c r="AJ37" s="108">
        <v>0</v>
      </c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>
        <v>26.85617</v>
      </c>
      <c r="BD37" s="106">
        <v>26.33574</v>
      </c>
      <c r="BE37" s="106"/>
      <c r="BF37" s="106"/>
      <c r="BG37" s="106"/>
      <c r="BH37" s="106"/>
      <c r="BI37" s="111"/>
      <c r="BJ37" s="106"/>
      <c r="BK37" s="106"/>
      <c r="BL37" s="111"/>
      <c r="BM37" s="111"/>
      <c r="BN37" s="111"/>
      <c r="BO37" s="111"/>
      <c r="BP37" s="111"/>
      <c r="BQ37" s="109"/>
      <c r="BR37" s="109"/>
      <c r="BS37" s="109"/>
      <c r="BT37" s="109"/>
      <c r="BU37" s="109"/>
    </row>
    <row r="38" spans="1:73" ht="37.5" customHeight="1" outlineLevel="2">
      <c r="A38" s="18" t="s">
        <v>887</v>
      </c>
      <c r="B38" s="18" t="s">
        <v>7</v>
      </c>
      <c r="C38" s="20" t="s">
        <v>587</v>
      </c>
      <c r="D38" s="202" t="s">
        <v>657</v>
      </c>
      <c r="E38" s="208" t="s">
        <v>1890</v>
      </c>
      <c r="F38" s="108">
        <f t="shared" si="0"/>
        <v>505.44359999999995</v>
      </c>
      <c r="G38" s="106">
        <f t="shared" si="1"/>
        <v>257.04562</v>
      </c>
      <c r="H38" s="106">
        <f t="shared" si="2"/>
        <v>248.39798</v>
      </c>
      <c r="I38" s="107"/>
      <c r="J38" s="107"/>
      <c r="K38" s="107"/>
      <c r="L38" s="107"/>
      <c r="M38" s="107"/>
      <c r="N38" s="107"/>
      <c r="O38" s="106"/>
      <c r="P38" s="106"/>
      <c r="Q38" s="106"/>
      <c r="R38" s="106"/>
      <c r="S38" s="106"/>
      <c r="T38" s="107"/>
      <c r="U38" s="107"/>
      <c r="V38" s="107"/>
      <c r="W38" s="107"/>
      <c r="X38" s="107"/>
      <c r="Y38" s="106"/>
      <c r="Z38" s="106"/>
      <c r="AA38" s="159">
        <v>121.44895</v>
      </c>
      <c r="AB38" s="106">
        <v>79.22924</v>
      </c>
      <c r="AC38" s="107"/>
      <c r="AD38" s="107"/>
      <c r="AE38" s="107"/>
      <c r="AF38" s="107"/>
      <c r="AG38" s="107"/>
      <c r="AH38" s="107"/>
      <c r="AI38" s="107"/>
      <c r="AJ38" s="108">
        <v>36.191599999999994</v>
      </c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6"/>
      <c r="AZ38" s="107"/>
      <c r="BA38" s="107"/>
      <c r="BB38" s="107"/>
      <c r="BC38" s="107">
        <v>135.59667</v>
      </c>
      <c r="BD38" s="106">
        <v>132.97714</v>
      </c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9"/>
      <c r="BR38" s="109"/>
      <c r="BS38" s="109"/>
      <c r="BT38" s="109"/>
      <c r="BU38" s="138"/>
    </row>
    <row r="39" spans="1:73" ht="37.5" customHeight="1" outlineLevel="2">
      <c r="A39" s="17" t="s">
        <v>887</v>
      </c>
      <c r="B39" s="17" t="s">
        <v>1290</v>
      </c>
      <c r="C39" s="20" t="s">
        <v>587</v>
      </c>
      <c r="D39" s="202" t="s">
        <v>712</v>
      </c>
      <c r="E39" s="208" t="s">
        <v>1891</v>
      </c>
      <c r="F39" s="108">
        <f t="shared" si="0"/>
        <v>172.83141999999998</v>
      </c>
      <c r="G39" s="106">
        <f t="shared" si="1"/>
        <v>83.75885</v>
      </c>
      <c r="H39" s="106">
        <f t="shared" si="2"/>
        <v>89.07257</v>
      </c>
      <c r="I39" s="107"/>
      <c r="J39" s="107"/>
      <c r="K39" s="107"/>
      <c r="L39" s="107"/>
      <c r="M39" s="107"/>
      <c r="N39" s="107"/>
      <c r="O39" s="106"/>
      <c r="P39" s="106"/>
      <c r="Q39" s="106"/>
      <c r="R39" s="106"/>
      <c r="S39" s="106"/>
      <c r="T39" s="107"/>
      <c r="U39" s="107"/>
      <c r="V39" s="107"/>
      <c r="W39" s="107"/>
      <c r="X39" s="107"/>
      <c r="Y39" s="106"/>
      <c r="Z39" s="106"/>
      <c r="AA39" s="159"/>
      <c r="AB39" s="106"/>
      <c r="AC39" s="107"/>
      <c r="AD39" s="107"/>
      <c r="AE39" s="107"/>
      <c r="AF39" s="107"/>
      <c r="AG39" s="107"/>
      <c r="AH39" s="107"/>
      <c r="AI39" s="107"/>
      <c r="AJ39" s="108">
        <v>15.045</v>
      </c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6"/>
      <c r="AZ39" s="107"/>
      <c r="BA39" s="107"/>
      <c r="BB39" s="107"/>
      <c r="BC39" s="107">
        <v>83.75885</v>
      </c>
      <c r="BD39" s="106">
        <v>74.02757</v>
      </c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9"/>
      <c r="BR39" s="109"/>
      <c r="BS39" s="109"/>
      <c r="BT39" s="109"/>
      <c r="BU39" s="138"/>
    </row>
    <row r="40" spans="1:73" ht="37.5" customHeight="1" outlineLevel="2">
      <c r="A40" s="17" t="s">
        <v>887</v>
      </c>
      <c r="B40" s="17" t="s">
        <v>1742</v>
      </c>
      <c r="C40" s="20" t="s">
        <v>587</v>
      </c>
      <c r="D40" s="209" t="s">
        <v>1787</v>
      </c>
      <c r="E40" s="210" t="s">
        <v>1892</v>
      </c>
      <c r="F40" s="108">
        <f t="shared" si="0"/>
        <v>145.25243</v>
      </c>
      <c r="G40" s="106">
        <f t="shared" si="1"/>
        <v>87.21702</v>
      </c>
      <c r="H40" s="106">
        <f t="shared" si="2"/>
        <v>58.03541</v>
      </c>
      <c r="I40" s="107"/>
      <c r="J40" s="107"/>
      <c r="K40" s="107"/>
      <c r="L40" s="107"/>
      <c r="M40" s="107"/>
      <c r="N40" s="107"/>
      <c r="O40" s="106"/>
      <c r="P40" s="106"/>
      <c r="Q40" s="106"/>
      <c r="R40" s="106"/>
      <c r="S40" s="106"/>
      <c r="T40" s="107"/>
      <c r="U40" s="107"/>
      <c r="V40" s="107"/>
      <c r="W40" s="107"/>
      <c r="X40" s="107"/>
      <c r="Y40" s="106"/>
      <c r="Z40" s="106"/>
      <c r="AA40" s="159">
        <f>35.72028+51.49674</f>
        <v>87.21702</v>
      </c>
      <c r="AB40" s="106">
        <f>23.76877+34.26664</f>
        <v>58.03541</v>
      </c>
      <c r="AC40" s="107"/>
      <c r="AD40" s="107"/>
      <c r="AE40" s="107"/>
      <c r="AF40" s="107"/>
      <c r="AG40" s="107"/>
      <c r="AH40" s="107"/>
      <c r="AI40" s="107"/>
      <c r="AJ40" s="108">
        <v>0</v>
      </c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6"/>
      <c r="AZ40" s="107"/>
      <c r="BA40" s="107"/>
      <c r="BB40" s="107"/>
      <c r="BC40" s="107"/>
      <c r="BD40" s="106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9"/>
      <c r="BR40" s="109"/>
      <c r="BS40" s="109"/>
      <c r="BT40" s="109"/>
      <c r="BU40" s="138"/>
    </row>
    <row r="41" spans="1:73" ht="37.5" customHeight="1" outlineLevel="2">
      <c r="A41" s="17" t="s">
        <v>887</v>
      </c>
      <c r="B41" s="17" t="s">
        <v>1606</v>
      </c>
      <c r="C41" s="20" t="s">
        <v>587</v>
      </c>
      <c r="D41" s="202" t="s">
        <v>1651</v>
      </c>
      <c r="E41" s="208" t="s">
        <v>1893</v>
      </c>
      <c r="F41" s="108">
        <f t="shared" si="0"/>
        <v>3328.43776</v>
      </c>
      <c r="G41" s="106">
        <f t="shared" si="1"/>
        <v>180.66845999999998</v>
      </c>
      <c r="H41" s="106">
        <f t="shared" si="2"/>
        <v>3147.7693</v>
      </c>
      <c r="I41" s="107"/>
      <c r="J41" s="107"/>
      <c r="K41" s="107"/>
      <c r="L41" s="107"/>
      <c r="M41" s="107"/>
      <c r="N41" s="107"/>
      <c r="O41" s="106"/>
      <c r="P41" s="106"/>
      <c r="Q41" s="106"/>
      <c r="R41" s="106"/>
      <c r="S41" s="106"/>
      <c r="T41" s="107"/>
      <c r="U41" s="107"/>
      <c r="V41" s="107"/>
      <c r="W41" s="107"/>
      <c r="X41" s="107"/>
      <c r="Y41" s="106"/>
      <c r="Z41" s="106"/>
      <c r="AA41" s="159">
        <v>94.61905</v>
      </c>
      <c r="AB41" s="106">
        <v>63.38339</v>
      </c>
      <c r="AC41" s="107"/>
      <c r="AD41" s="107"/>
      <c r="AE41" s="107"/>
      <c r="AF41" s="107"/>
      <c r="AG41" s="107"/>
      <c r="AH41" s="107"/>
      <c r="AI41" s="107"/>
      <c r="AJ41" s="108">
        <v>0</v>
      </c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6"/>
      <c r="AZ41" s="107"/>
      <c r="BA41" s="107"/>
      <c r="BB41" s="107"/>
      <c r="BC41" s="107">
        <v>86.04941</v>
      </c>
      <c r="BD41" s="106">
        <v>84.38591</v>
      </c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9"/>
      <c r="BR41" s="109"/>
      <c r="BS41" s="109"/>
      <c r="BT41" s="109"/>
      <c r="BU41" s="138">
        <v>3000</v>
      </c>
    </row>
    <row r="42" spans="1:73" ht="37.5" customHeight="1" outlineLevel="2">
      <c r="A42" s="17" t="s">
        <v>887</v>
      </c>
      <c r="B42" s="19" t="s">
        <v>849</v>
      </c>
      <c r="C42" s="20" t="s">
        <v>587</v>
      </c>
      <c r="D42" s="202" t="s">
        <v>846</v>
      </c>
      <c r="E42" s="208" t="s">
        <v>1894</v>
      </c>
      <c r="F42" s="108">
        <f t="shared" si="0"/>
        <v>339.20571</v>
      </c>
      <c r="G42" s="106">
        <f t="shared" si="1"/>
        <v>141.2763</v>
      </c>
      <c r="H42" s="106">
        <f t="shared" si="2"/>
        <v>197.92941000000002</v>
      </c>
      <c r="I42" s="107"/>
      <c r="J42" s="107"/>
      <c r="K42" s="107"/>
      <c r="L42" s="107"/>
      <c r="M42" s="107"/>
      <c r="N42" s="107"/>
      <c r="O42" s="106"/>
      <c r="P42" s="106"/>
      <c r="Q42" s="106"/>
      <c r="R42" s="106"/>
      <c r="S42" s="106"/>
      <c r="T42" s="107"/>
      <c r="U42" s="107"/>
      <c r="V42" s="107"/>
      <c r="W42" s="107"/>
      <c r="X42" s="107"/>
      <c r="Y42" s="106"/>
      <c r="Z42" s="106"/>
      <c r="AA42" s="159">
        <v>64.59417</v>
      </c>
      <c r="AB42" s="106">
        <v>49.51827</v>
      </c>
      <c r="AC42" s="107"/>
      <c r="AD42" s="107"/>
      <c r="AE42" s="107"/>
      <c r="AF42" s="107"/>
      <c r="AG42" s="107"/>
      <c r="AH42" s="107"/>
      <c r="AI42" s="107"/>
      <c r="AJ42" s="108">
        <v>0</v>
      </c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6"/>
      <c r="AZ42" s="107"/>
      <c r="BA42" s="107">
        <v>73.21125</v>
      </c>
      <c r="BB42" s="107"/>
      <c r="BC42" s="107">
        <v>76.68213</v>
      </c>
      <c r="BD42" s="106">
        <v>75.19989</v>
      </c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9"/>
      <c r="BR42" s="109"/>
      <c r="BS42" s="109"/>
      <c r="BT42" s="109"/>
      <c r="BU42" s="138"/>
    </row>
    <row r="43" spans="1:73" ht="37.5" customHeight="1" outlineLevel="2">
      <c r="A43" s="17" t="s">
        <v>887</v>
      </c>
      <c r="B43" s="19" t="s">
        <v>851</v>
      </c>
      <c r="C43" s="20" t="s">
        <v>587</v>
      </c>
      <c r="D43" s="202" t="s">
        <v>637</v>
      </c>
      <c r="E43" s="208" t="s">
        <v>1895</v>
      </c>
      <c r="F43" s="108">
        <f t="shared" si="0"/>
        <v>419.10965999999996</v>
      </c>
      <c r="G43" s="106">
        <f t="shared" si="1"/>
        <v>65.13359</v>
      </c>
      <c r="H43" s="106">
        <f t="shared" si="2"/>
        <v>353.97607</v>
      </c>
      <c r="I43" s="107"/>
      <c r="J43" s="107"/>
      <c r="K43" s="107"/>
      <c r="L43" s="107"/>
      <c r="M43" s="107"/>
      <c r="N43" s="107"/>
      <c r="O43" s="106"/>
      <c r="P43" s="106"/>
      <c r="Q43" s="106"/>
      <c r="R43" s="106"/>
      <c r="S43" s="106"/>
      <c r="T43" s="107"/>
      <c r="U43" s="107"/>
      <c r="V43" s="107"/>
      <c r="W43" s="107"/>
      <c r="X43" s="107"/>
      <c r="Y43" s="106"/>
      <c r="Z43" s="106"/>
      <c r="AA43" s="159">
        <v>33.02935</v>
      </c>
      <c r="AB43" s="106">
        <v>23.76877</v>
      </c>
      <c r="AC43" s="107"/>
      <c r="AD43" s="107"/>
      <c r="AE43" s="107"/>
      <c r="AF43" s="107"/>
      <c r="AG43" s="107"/>
      <c r="AH43" s="107"/>
      <c r="AI43" s="107"/>
      <c r="AJ43" s="108">
        <v>0</v>
      </c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6"/>
      <c r="AZ43" s="107"/>
      <c r="BA43" s="107"/>
      <c r="BB43" s="107"/>
      <c r="BC43" s="107">
        <v>32.10424</v>
      </c>
      <c r="BD43" s="106">
        <v>31.48398</v>
      </c>
      <c r="BE43" s="107"/>
      <c r="BF43" s="107"/>
      <c r="BG43" s="107"/>
      <c r="BH43" s="107"/>
      <c r="BI43" s="107"/>
      <c r="BJ43" s="107"/>
      <c r="BK43" s="107"/>
      <c r="BL43" s="107"/>
      <c r="BM43" s="107">
        <v>298.72332</v>
      </c>
      <c r="BN43" s="107"/>
      <c r="BO43" s="107"/>
      <c r="BP43" s="107"/>
      <c r="BQ43" s="109"/>
      <c r="BR43" s="109"/>
      <c r="BS43" s="109"/>
      <c r="BT43" s="109"/>
      <c r="BU43" s="138"/>
    </row>
    <row r="44" spans="1:73" ht="37.5" customHeight="1" outlineLevel="2">
      <c r="A44" s="17" t="s">
        <v>887</v>
      </c>
      <c r="B44" s="17" t="s">
        <v>1291</v>
      </c>
      <c r="C44" s="20" t="s">
        <v>587</v>
      </c>
      <c r="D44" s="202" t="s">
        <v>661</v>
      </c>
      <c r="E44" s="208" t="s">
        <v>1896</v>
      </c>
      <c r="F44" s="108">
        <f t="shared" si="0"/>
        <v>722.83989</v>
      </c>
      <c r="G44" s="106">
        <f t="shared" si="1"/>
        <v>364.74208999999996</v>
      </c>
      <c r="H44" s="106">
        <f t="shared" si="2"/>
        <v>358.0978</v>
      </c>
      <c r="I44" s="107"/>
      <c r="J44" s="107"/>
      <c r="K44" s="107"/>
      <c r="L44" s="107"/>
      <c r="M44" s="107"/>
      <c r="N44" s="107"/>
      <c r="O44" s="106"/>
      <c r="P44" s="106"/>
      <c r="Q44" s="106"/>
      <c r="R44" s="106"/>
      <c r="S44" s="106"/>
      <c r="T44" s="107"/>
      <c r="U44" s="107"/>
      <c r="V44" s="107"/>
      <c r="W44" s="107"/>
      <c r="X44" s="107"/>
      <c r="Y44" s="106"/>
      <c r="Z44" s="106"/>
      <c r="AA44" s="159">
        <v>178.9983</v>
      </c>
      <c r="AB44" s="106">
        <v>108.9402</v>
      </c>
      <c r="AC44" s="107"/>
      <c r="AD44" s="107"/>
      <c r="AE44" s="107"/>
      <c r="AF44" s="107"/>
      <c r="AG44" s="107"/>
      <c r="AH44" s="107"/>
      <c r="AI44" s="107"/>
      <c r="AJ44" s="108">
        <v>67.006</v>
      </c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6"/>
      <c r="AZ44" s="107"/>
      <c r="BA44" s="107"/>
      <c r="BB44" s="107"/>
      <c r="BC44" s="107">
        <v>185.74379</v>
      </c>
      <c r="BD44" s="106">
        <v>182.1516</v>
      </c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9"/>
      <c r="BR44" s="109"/>
      <c r="BS44" s="109"/>
      <c r="BT44" s="109"/>
      <c r="BU44" s="138"/>
    </row>
    <row r="45" spans="1:73" ht="37.5" customHeight="1" outlineLevel="2">
      <c r="A45" s="17" t="s">
        <v>887</v>
      </c>
      <c r="B45" s="17" t="s">
        <v>1605</v>
      </c>
      <c r="C45" s="20" t="s">
        <v>587</v>
      </c>
      <c r="D45" s="202" t="s">
        <v>1652</v>
      </c>
      <c r="E45" s="208" t="s">
        <v>1897</v>
      </c>
      <c r="F45" s="108">
        <f t="shared" si="0"/>
        <v>62.05337</v>
      </c>
      <c r="G45" s="106">
        <f t="shared" si="1"/>
        <v>31.32952</v>
      </c>
      <c r="H45" s="106">
        <f t="shared" si="2"/>
        <v>30.72385</v>
      </c>
      <c r="I45" s="107"/>
      <c r="J45" s="107"/>
      <c r="K45" s="107"/>
      <c r="L45" s="107"/>
      <c r="M45" s="107"/>
      <c r="N45" s="107"/>
      <c r="O45" s="106"/>
      <c r="P45" s="106"/>
      <c r="Q45" s="106"/>
      <c r="R45" s="106"/>
      <c r="S45" s="106"/>
      <c r="T45" s="107"/>
      <c r="U45" s="107"/>
      <c r="V45" s="107"/>
      <c r="W45" s="107"/>
      <c r="X45" s="107"/>
      <c r="Y45" s="106"/>
      <c r="Z45" s="106"/>
      <c r="AA45" s="159"/>
      <c r="AB45" s="106"/>
      <c r="AC45" s="107"/>
      <c r="AD45" s="107"/>
      <c r="AE45" s="107"/>
      <c r="AF45" s="107"/>
      <c r="AG45" s="107"/>
      <c r="AH45" s="107"/>
      <c r="AI45" s="107"/>
      <c r="AJ45" s="108">
        <v>0</v>
      </c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6"/>
      <c r="AZ45" s="107"/>
      <c r="BA45" s="107"/>
      <c r="BB45" s="107"/>
      <c r="BC45" s="107">
        <v>31.32952</v>
      </c>
      <c r="BD45" s="106">
        <v>30.72385</v>
      </c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9"/>
      <c r="BR45" s="109"/>
      <c r="BS45" s="109"/>
      <c r="BT45" s="109"/>
      <c r="BU45" s="138"/>
    </row>
    <row r="46" spans="1:73" ht="37.5" customHeight="1" outlineLevel="2">
      <c r="A46" s="17" t="s">
        <v>887</v>
      </c>
      <c r="B46" s="17" t="s">
        <v>1776</v>
      </c>
      <c r="C46" s="20" t="s">
        <v>587</v>
      </c>
      <c r="D46" s="202" t="s">
        <v>1788</v>
      </c>
      <c r="E46" s="208" t="s">
        <v>1898</v>
      </c>
      <c r="F46" s="108">
        <f t="shared" si="0"/>
        <v>1750</v>
      </c>
      <c r="G46" s="106">
        <f t="shared" si="1"/>
        <v>0</v>
      </c>
      <c r="H46" s="106">
        <f t="shared" si="2"/>
        <v>1750</v>
      </c>
      <c r="I46" s="107"/>
      <c r="J46" s="107"/>
      <c r="K46" s="107"/>
      <c r="L46" s="107"/>
      <c r="M46" s="107"/>
      <c r="N46" s="107"/>
      <c r="O46" s="106"/>
      <c r="P46" s="106"/>
      <c r="Q46" s="106"/>
      <c r="R46" s="106"/>
      <c r="S46" s="106"/>
      <c r="T46" s="107"/>
      <c r="U46" s="107"/>
      <c r="V46" s="107"/>
      <c r="W46" s="107"/>
      <c r="X46" s="107"/>
      <c r="Y46" s="106"/>
      <c r="Z46" s="106"/>
      <c r="AA46" s="159"/>
      <c r="AB46" s="106"/>
      <c r="AC46" s="107"/>
      <c r="AD46" s="107"/>
      <c r="AE46" s="107"/>
      <c r="AF46" s="107"/>
      <c r="AG46" s="107"/>
      <c r="AH46" s="107"/>
      <c r="AI46" s="107"/>
      <c r="AJ46" s="108">
        <v>0</v>
      </c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6"/>
      <c r="AZ46" s="107"/>
      <c r="BA46" s="107"/>
      <c r="BB46" s="107"/>
      <c r="BC46" s="107"/>
      <c r="BD46" s="106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9">
        <v>250</v>
      </c>
      <c r="BR46" s="109"/>
      <c r="BS46" s="109">
        <v>1500</v>
      </c>
      <c r="BT46" s="109"/>
      <c r="BU46" s="138"/>
    </row>
    <row r="47" spans="1:73" s="185" customFormat="1" ht="37.5" customHeight="1" outlineLevel="2">
      <c r="A47" s="186" t="s">
        <v>887</v>
      </c>
      <c r="B47" s="186" t="s">
        <v>1521</v>
      </c>
      <c r="C47" s="187" t="s">
        <v>587</v>
      </c>
      <c r="D47" s="213" t="s">
        <v>638</v>
      </c>
      <c r="E47" s="214" t="s">
        <v>1899</v>
      </c>
      <c r="F47" s="177">
        <f t="shared" si="0"/>
        <v>708.96754</v>
      </c>
      <c r="G47" s="106">
        <f t="shared" si="1"/>
        <v>364.09866999999997</v>
      </c>
      <c r="H47" s="106">
        <f t="shared" si="2"/>
        <v>344.86887</v>
      </c>
      <c r="I47" s="188"/>
      <c r="J47" s="188"/>
      <c r="K47" s="188"/>
      <c r="L47" s="188"/>
      <c r="M47" s="188"/>
      <c r="N47" s="188"/>
      <c r="O47" s="178"/>
      <c r="P47" s="178"/>
      <c r="Q47" s="178"/>
      <c r="R47" s="178"/>
      <c r="S47" s="178"/>
      <c r="T47" s="188"/>
      <c r="U47" s="188"/>
      <c r="V47" s="188"/>
      <c r="W47" s="188">
        <v>132.32921</v>
      </c>
      <c r="X47" s="188">
        <v>69.08511</v>
      </c>
      <c r="Y47" s="178"/>
      <c r="Z47" s="178"/>
      <c r="AA47" s="189">
        <v>101.51108</v>
      </c>
      <c r="AB47" s="178">
        <v>67.34485</v>
      </c>
      <c r="AC47" s="188"/>
      <c r="AD47" s="188"/>
      <c r="AE47" s="188"/>
      <c r="AF47" s="188"/>
      <c r="AG47" s="188"/>
      <c r="AH47" s="188"/>
      <c r="AI47" s="188"/>
      <c r="AJ47" s="177">
        <v>0</v>
      </c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78"/>
      <c r="AZ47" s="188">
        <v>9</v>
      </c>
      <c r="BA47" s="188">
        <v>71.69785</v>
      </c>
      <c r="BB47" s="188"/>
      <c r="BC47" s="188">
        <v>130.25838</v>
      </c>
      <c r="BD47" s="178">
        <v>127.74106</v>
      </c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90"/>
      <c r="BR47" s="190"/>
      <c r="BS47" s="190"/>
      <c r="BT47" s="190"/>
      <c r="BU47" s="191"/>
    </row>
    <row r="48" spans="1:73" ht="37.5" customHeight="1" outlineLevel="2">
      <c r="A48" s="17" t="s">
        <v>887</v>
      </c>
      <c r="B48" s="17" t="s">
        <v>1607</v>
      </c>
      <c r="C48" s="20" t="s">
        <v>587</v>
      </c>
      <c r="D48" s="202" t="s">
        <v>1653</v>
      </c>
      <c r="E48" s="208" t="s">
        <v>1900</v>
      </c>
      <c r="F48" s="108">
        <f t="shared" si="0"/>
        <v>57.20483</v>
      </c>
      <c r="G48" s="106">
        <f t="shared" si="1"/>
        <v>27.428069999999998</v>
      </c>
      <c r="H48" s="106">
        <f t="shared" si="2"/>
        <v>29.77676</v>
      </c>
      <c r="I48" s="107"/>
      <c r="J48" s="107"/>
      <c r="K48" s="107"/>
      <c r="L48" s="107"/>
      <c r="M48" s="107"/>
      <c r="N48" s="107"/>
      <c r="O48" s="106"/>
      <c r="P48" s="106"/>
      <c r="Q48" s="106"/>
      <c r="R48" s="106"/>
      <c r="S48" s="106"/>
      <c r="T48" s="107"/>
      <c r="U48" s="107"/>
      <c r="V48" s="107"/>
      <c r="W48" s="107"/>
      <c r="X48" s="107"/>
      <c r="Y48" s="106"/>
      <c r="Z48" s="106"/>
      <c r="AA48" s="159">
        <v>11.20188</v>
      </c>
      <c r="AB48" s="106">
        <v>13.86512</v>
      </c>
      <c r="AC48" s="107"/>
      <c r="AD48" s="107"/>
      <c r="AE48" s="107"/>
      <c r="AF48" s="107"/>
      <c r="AG48" s="107"/>
      <c r="AH48" s="107"/>
      <c r="AI48" s="107"/>
      <c r="AJ48" s="108">
        <v>0</v>
      </c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6"/>
      <c r="AZ48" s="107"/>
      <c r="BA48" s="107"/>
      <c r="BB48" s="107"/>
      <c r="BC48" s="107">
        <v>16.22619</v>
      </c>
      <c r="BD48" s="106">
        <v>15.91164</v>
      </c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9"/>
      <c r="BR48" s="109"/>
      <c r="BS48" s="109"/>
      <c r="BT48" s="109"/>
      <c r="BU48" s="138"/>
    </row>
    <row r="49" spans="1:73" ht="37.5" customHeight="1" outlineLevel="2">
      <c r="A49" s="17" t="s">
        <v>887</v>
      </c>
      <c r="B49" s="17" t="s">
        <v>1377</v>
      </c>
      <c r="C49" s="20" t="s">
        <v>587</v>
      </c>
      <c r="D49" s="202" t="s">
        <v>1095</v>
      </c>
      <c r="E49" s="208" t="s">
        <v>1901</v>
      </c>
      <c r="F49" s="108">
        <f t="shared" si="0"/>
        <v>506.33667</v>
      </c>
      <c r="G49" s="106">
        <f t="shared" si="1"/>
        <v>291.61955</v>
      </c>
      <c r="H49" s="106">
        <f t="shared" si="2"/>
        <v>214.71712000000002</v>
      </c>
      <c r="I49" s="107"/>
      <c r="J49" s="107"/>
      <c r="K49" s="107"/>
      <c r="L49" s="107"/>
      <c r="M49" s="107"/>
      <c r="N49" s="107"/>
      <c r="O49" s="106"/>
      <c r="P49" s="106"/>
      <c r="Q49" s="106"/>
      <c r="R49" s="106"/>
      <c r="S49" s="106"/>
      <c r="T49" s="107"/>
      <c r="U49" s="107"/>
      <c r="V49" s="107"/>
      <c r="W49" s="107">
        <v>117.17672</v>
      </c>
      <c r="X49" s="107">
        <v>61.17446</v>
      </c>
      <c r="Y49" s="106"/>
      <c r="Z49" s="106"/>
      <c r="AA49" s="159">
        <v>78.46555</v>
      </c>
      <c r="AB49" s="106">
        <v>59.42193</v>
      </c>
      <c r="AC49" s="107"/>
      <c r="AD49" s="107"/>
      <c r="AE49" s="107"/>
      <c r="AF49" s="107"/>
      <c r="AG49" s="107"/>
      <c r="AH49" s="107"/>
      <c r="AI49" s="107"/>
      <c r="AJ49" s="108">
        <v>0</v>
      </c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6"/>
      <c r="AZ49" s="107"/>
      <c r="BA49" s="107"/>
      <c r="BB49" s="107"/>
      <c r="BC49" s="107">
        <v>95.97728</v>
      </c>
      <c r="BD49" s="106">
        <v>94.12073</v>
      </c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9"/>
      <c r="BR49" s="109"/>
      <c r="BS49" s="109"/>
      <c r="BT49" s="109"/>
      <c r="BU49" s="138"/>
    </row>
    <row r="50" spans="1:73" ht="37.5" customHeight="1" outlineLevel="2">
      <c r="A50" s="18" t="s">
        <v>887</v>
      </c>
      <c r="B50" s="25" t="s">
        <v>362</v>
      </c>
      <c r="C50" s="20" t="s">
        <v>587</v>
      </c>
      <c r="D50" s="202" t="s">
        <v>1694</v>
      </c>
      <c r="E50" s="208" t="s">
        <v>1902</v>
      </c>
      <c r="F50" s="108">
        <f t="shared" si="0"/>
        <v>91.59092000000001</v>
      </c>
      <c r="G50" s="106">
        <f t="shared" si="1"/>
        <v>46.5588</v>
      </c>
      <c r="H50" s="106">
        <f t="shared" si="2"/>
        <v>45.032120000000006</v>
      </c>
      <c r="I50" s="107"/>
      <c r="J50" s="107"/>
      <c r="K50" s="107"/>
      <c r="L50" s="107"/>
      <c r="M50" s="107"/>
      <c r="N50" s="107"/>
      <c r="O50" s="106"/>
      <c r="P50" s="106"/>
      <c r="Q50" s="106"/>
      <c r="R50" s="106"/>
      <c r="S50" s="106"/>
      <c r="T50" s="107"/>
      <c r="U50" s="107"/>
      <c r="V50" s="107"/>
      <c r="W50" s="107"/>
      <c r="X50" s="107"/>
      <c r="Y50" s="107"/>
      <c r="Z50" s="106"/>
      <c r="AA50" s="159">
        <v>20.83683</v>
      </c>
      <c r="AB50" s="106">
        <v>19.80731</v>
      </c>
      <c r="AC50" s="107"/>
      <c r="AD50" s="107"/>
      <c r="AE50" s="107"/>
      <c r="AF50" s="107"/>
      <c r="AG50" s="107"/>
      <c r="AH50" s="107"/>
      <c r="AI50" s="107"/>
      <c r="AJ50" s="108">
        <v>0</v>
      </c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6"/>
      <c r="AZ50" s="107"/>
      <c r="BA50" s="107"/>
      <c r="BB50" s="107"/>
      <c r="BC50" s="107">
        <v>25.72197</v>
      </c>
      <c r="BD50" s="106">
        <v>25.22481</v>
      </c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9"/>
      <c r="BR50" s="109"/>
      <c r="BS50" s="109"/>
      <c r="BT50" s="109"/>
      <c r="BU50" s="138"/>
    </row>
    <row r="51" spans="1:73" ht="37.5" customHeight="1" outlineLevel="2">
      <c r="A51" s="18" t="s">
        <v>887</v>
      </c>
      <c r="B51" s="17" t="s">
        <v>1522</v>
      </c>
      <c r="C51" s="20" t="s">
        <v>587</v>
      </c>
      <c r="D51" s="202" t="s">
        <v>639</v>
      </c>
      <c r="E51" s="208" t="s">
        <v>1903</v>
      </c>
      <c r="F51" s="108">
        <f t="shared" si="0"/>
        <v>254.52006</v>
      </c>
      <c r="G51" s="106">
        <f t="shared" si="1"/>
        <v>73.12473</v>
      </c>
      <c r="H51" s="106">
        <f t="shared" si="2"/>
        <v>181.39533</v>
      </c>
      <c r="I51" s="107"/>
      <c r="J51" s="107"/>
      <c r="K51" s="107"/>
      <c r="L51" s="107"/>
      <c r="M51" s="107"/>
      <c r="N51" s="107"/>
      <c r="O51" s="106"/>
      <c r="P51" s="106"/>
      <c r="Q51" s="106"/>
      <c r="R51" s="106"/>
      <c r="S51" s="106"/>
      <c r="T51" s="107"/>
      <c r="U51" s="107"/>
      <c r="V51" s="107"/>
      <c r="W51" s="107"/>
      <c r="X51" s="107"/>
      <c r="Y51" s="107"/>
      <c r="Z51" s="106"/>
      <c r="AA51" s="159">
        <v>35.12494</v>
      </c>
      <c r="AB51" s="106">
        <v>29.71096</v>
      </c>
      <c r="AC51" s="107"/>
      <c r="AD51" s="107"/>
      <c r="AE51" s="107"/>
      <c r="AF51" s="107"/>
      <c r="AG51" s="107"/>
      <c r="AH51" s="107"/>
      <c r="AI51" s="107"/>
      <c r="AJ51" s="108">
        <v>0</v>
      </c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6"/>
      <c r="AZ51" s="107"/>
      <c r="BA51" s="107">
        <f>85+29.4189</f>
        <v>114.41890000000001</v>
      </c>
      <c r="BB51" s="107"/>
      <c r="BC51" s="107">
        <v>37.99979</v>
      </c>
      <c r="BD51" s="106">
        <v>37.26547</v>
      </c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9"/>
      <c r="BR51" s="109"/>
      <c r="BS51" s="109"/>
      <c r="BT51" s="109"/>
      <c r="BU51" s="138"/>
    </row>
    <row r="52" spans="1:73" ht="37.5" customHeight="1" outlineLevel="2">
      <c r="A52" s="17" t="s">
        <v>887</v>
      </c>
      <c r="B52" s="19" t="s">
        <v>850</v>
      </c>
      <c r="C52" s="20" t="s">
        <v>587</v>
      </c>
      <c r="D52" s="202" t="s">
        <v>1211</v>
      </c>
      <c r="E52" s="208" t="s">
        <v>1904</v>
      </c>
      <c r="F52" s="108">
        <f t="shared" si="0"/>
        <v>484.59709999999995</v>
      </c>
      <c r="G52" s="106">
        <f t="shared" si="1"/>
        <v>241.43487</v>
      </c>
      <c r="H52" s="106">
        <f t="shared" si="2"/>
        <v>243.16223</v>
      </c>
      <c r="I52" s="107"/>
      <c r="J52" s="107"/>
      <c r="K52" s="107"/>
      <c r="L52" s="107"/>
      <c r="M52" s="107"/>
      <c r="N52" s="107"/>
      <c r="O52" s="106"/>
      <c r="P52" s="106"/>
      <c r="Q52" s="106"/>
      <c r="R52" s="106"/>
      <c r="S52" s="106"/>
      <c r="T52" s="107"/>
      <c r="U52" s="107"/>
      <c r="V52" s="107"/>
      <c r="W52" s="107"/>
      <c r="X52" s="107"/>
      <c r="Y52" s="106"/>
      <c r="Z52" s="106"/>
      <c r="AA52" s="159">
        <v>104.18415</v>
      </c>
      <c r="AB52" s="106">
        <v>69.32558</v>
      </c>
      <c r="AC52" s="107"/>
      <c r="AD52" s="107"/>
      <c r="AE52" s="107"/>
      <c r="AF52" s="107"/>
      <c r="AG52" s="107"/>
      <c r="AH52" s="107"/>
      <c r="AI52" s="107"/>
      <c r="AJ52" s="108">
        <v>39.242399999999996</v>
      </c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6"/>
      <c r="AZ52" s="107"/>
      <c r="BA52" s="107"/>
      <c r="BB52" s="107"/>
      <c r="BC52" s="107">
        <v>137.25072</v>
      </c>
      <c r="BD52" s="106">
        <v>134.59425</v>
      </c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9"/>
      <c r="BR52" s="109"/>
      <c r="BS52" s="109"/>
      <c r="BT52" s="109"/>
      <c r="BU52" s="138"/>
    </row>
    <row r="53" spans="1:73" ht="37.5" customHeight="1" outlineLevel="2">
      <c r="A53" s="18" t="s">
        <v>887</v>
      </c>
      <c r="B53" s="18" t="s">
        <v>898</v>
      </c>
      <c r="C53" s="20" t="s">
        <v>710</v>
      </c>
      <c r="D53" s="202" t="s">
        <v>240</v>
      </c>
      <c r="E53" s="208" t="s">
        <v>1905</v>
      </c>
      <c r="F53" s="108">
        <f t="shared" si="0"/>
        <v>1588.8989100000001</v>
      </c>
      <c r="G53" s="106">
        <f t="shared" si="1"/>
        <v>143.19616000000002</v>
      </c>
      <c r="H53" s="106">
        <f t="shared" si="2"/>
        <v>1445.7027500000002</v>
      </c>
      <c r="I53" s="107"/>
      <c r="J53" s="107"/>
      <c r="K53" s="107"/>
      <c r="L53" s="107"/>
      <c r="M53" s="107"/>
      <c r="N53" s="107"/>
      <c r="O53" s="106"/>
      <c r="P53" s="106"/>
      <c r="Q53" s="106"/>
      <c r="R53" s="106"/>
      <c r="S53" s="106"/>
      <c r="T53" s="107"/>
      <c r="U53" s="107"/>
      <c r="V53" s="107"/>
      <c r="W53" s="107"/>
      <c r="X53" s="107"/>
      <c r="Y53" s="106"/>
      <c r="Z53" s="106"/>
      <c r="AA53" s="159">
        <v>73.72269</v>
      </c>
      <c r="AB53" s="106">
        <v>49.51827</v>
      </c>
      <c r="AC53" s="107"/>
      <c r="AD53" s="107"/>
      <c r="AE53" s="107"/>
      <c r="AF53" s="107"/>
      <c r="AG53" s="107"/>
      <c r="AH53" s="107"/>
      <c r="AI53" s="107"/>
      <c r="AJ53" s="108">
        <v>0</v>
      </c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6"/>
      <c r="AZ53" s="107"/>
      <c r="BA53" s="107"/>
      <c r="BB53" s="107"/>
      <c r="BC53" s="107">
        <v>69.47347</v>
      </c>
      <c r="BD53" s="106">
        <v>68.13012</v>
      </c>
      <c r="BE53" s="107"/>
      <c r="BF53" s="107"/>
      <c r="BG53" s="107"/>
      <c r="BH53" s="107"/>
      <c r="BI53" s="107"/>
      <c r="BJ53" s="107">
        <v>1328.05436</v>
      </c>
      <c r="BK53" s="107"/>
      <c r="BL53" s="107"/>
      <c r="BM53" s="107"/>
      <c r="BN53" s="107"/>
      <c r="BO53" s="107"/>
      <c r="BP53" s="107"/>
      <c r="BQ53" s="109"/>
      <c r="BR53" s="109"/>
      <c r="BS53" s="109"/>
      <c r="BT53" s="109"/>
      <c r="BU53" s="138"/>
    </row>
    <row r="54" spans="1:73" ht="37.5" customHeight="1" outlineLevel="2">
      <c r="A54" s="17" t="s">
        <v>887</v>
      </c>
      <c r="B54" s="19" t="s">
        <v>246</v>
      </c>
      <c r="C54" s="20" t="s">
        <v>710</v>
      </c>
      <c r="D54" s="202" t="s">
        <v>640</v>
      </c>
      <c r="E54" s="208" t="s">
        <v>1906</v>
      </c>
      <c r="F54" s="108">
        <f t="shared" si="0"/>
        <v>672.19069</v>
      </c>
      <c r="G54" s="106">
        <f t="shared" si="1"/>
        <v>300.38554999999997</v>
      </c>
      <c r="H54" s="106">
        <f t="shared" si="2"/>
        <v>371.80514000000005</v>
      </c>
      <c r="I54" s="107"/>
      <c r="J54" s="107"/>
      <c r="K54" s="107"/>
      <c r="L54" s="107"/>
      <c r="M54" s="107"/>
      <c r="N54" s="107"/>
      <c r="O54" s="106"/>
      <c r="P54" s="106"/>
      <c r="Q54" s="106">
        <v>44.41218</v>
      </c>
      <c r="R54" s="106"/>
      <c r="S54" s="106"/>
      <c r="T54" s="107"/>
      <c r="U54" s="107"/>
      <c r="V54" s="107"/>
      <c r="W54" s="107"/>
      <c r="X54" s="107"/>
      <c r="Y54" s="106"/>
      <c r="Z54" s="106"/>
      <c r="AA54" s="159">
        <v>120.04396</v>
      </c>
      <c r="AB54" s="106">
        <v>79.22924</v>
      </c>
      <c r="AC54" s="107"/>
      <c r="AD54" s="107"/>
      <c r="AE54" s="107"/>
      <c r="AF54" s="107"/>
      <c r="AG54" s="107"/>
      <c r="AH54" s="107"/>
      <c r="AI54" s="107"/>
      <c r="AJ54" s="108">
        <v>71.30776</v>
      </c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6"/>
      <c r="AZ54" s="107"/>
      <c r="BA54" s="107"/>
      <c r="BB54" s="107"/>
      <c r="BC54" s="107">
        <v>180.34159</v>
      </c>
      <c r="BD54" s="106">
        <v>176.85596</v>
      </c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9"/>
      <c r="BR54" s="109"/>
      <c r="BS54" s="109"/>
      <c r="BT54" s="109"/>
      <c r="BU54" s="138"/>
    </row>
    <row r="55" spans="1:73" ht="37.5" customHeight="1" outlineLevel="2">
      <c r="A55" s="18" t="s">
        <v>887</v>
      </c>
      <c r="B55" s="19" t="s">
        <v>1286</v>
      </c>
      <c r="C55" s="20" t="s">
        <v>710</v>
      </c>
      <c r="D55" s="204">
        <v>240100024091</v>
      </c>
      <c r="E55" s="205" t="s">
        <v>1907</v>
      </c>
      <c r="F55" s="108">
        <f t="shared" si="0"/>
        <v>104.58293</v>
      </c>
      <c r="G55" s="106">
        <f t="shared" si="1"/>
        <v>53.71282</v>
      </c>
      <c r="H55" s="106">
        <f t="shared" si="2"/>
        <v>50.87011</v>
      </c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>
        <v>0.84178</v>
      </c>
      <c r="Z55" s="106">
        <v>3.993</v>
      </c>
      <c r="AA55" s="159">
        <v>27.28633</v>
      </c>
      <c r="AB55" s="106">
        <v>21.78804</v>
      </c>
      <c r="AC55" s="106"/>
      <c r="AD55" s="106"/>
      <c r="AE55" s="106"/>
      <c r="AF55" s="106"/>
      <c r="AG55" s="106"/>
      <c r="AH55" s="106"/>
      <c r="AI55" s="106"/>
      <c r="AJ55" s="108">
        <v>0</v>
      </c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>
        <v>25.58471</v>
      </c>
      <c r="BD55" s="106">
        <v>25.08907</v>
      </c>
      <c r="BE55" s="106"/>
      <c r="BF55" s="106"/>
      <c r="BG55" s="106"/>
      <c r="BH55" s="106"/>
      <c r="BI55" s="111"/>
      <c r="BJ55" s="106"/>
      <c r="BK55" s="106"/>
      <c r="BL55" s="111"/>
      <c r="BM55" s="111"/>
      <c r="BN55" s="111"/>
      <c r="BO55" s="111"/>
      <c r="BP55" s="111"/>
      <c r="BQ55" s="109"/>
      <c r="BR55" s="109"/>
      <c r="BS55" s="109"/>
      <c r="BT55" s="109"/>
      <c r="BU55" s="138"/>
    </row>
    <row r="56" spans="1:73" ht="37.5" customHeight="1" outlineLevel="2">
      <c r="A56" s="18" t="s">
        <v>887</v>
      </c>
      <c r="B56" s="19" t="s">
        <v>1156</v>
      </c>
      <c r="C56" s="20" t="s">
        <v>710</v>
      </c>
      <c r="D56" s="204">
        <v>240100812310</v>
      </c>
      <c r="E56" s="205" t="s">
        <v>1908</v>
      </c>
      <c r="F56" s="108">
        <f t="shared" si="0"/>
        <v>491.99391</v>
      </c>
      <c r="G56" s="106">
        <f t="shared" si="1"/>
        <v>204.59709</v>
      </c>
      <c r="H56" s="106">
        <f t="shared" si="2"/>
        <v>287.39682000000005</v>
      </c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>
        <v>9.12</v>
      </c>
      <c r="Z56" s="106">
        <v>23.958</v>
      </c>
      <c r="AA56" s="159">
        <v>92.27739</v>
      </c>
      <c r="AB56" s="106">
        <v>59.42193</v>
      </c>
      <c r="AC56" s="106"/>
      <c r="AD56" s="106"/>
      <c r="AE56" s="106"/>
      <c r="AF56" s="106"/>
      <c r="AG56" s="106"/>
      <c r="AH56" s="106"/>
      <c r="AI56" s="106"/>
      <c r="AJ56" s="108">
        <v>1.07544</v>
      </c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>
        <v>101.738</v>
      </c>
      <c r="BB56" s="106"/>
      <c r="BC56" s="106">
        <v>103.1997</v>
      </c>
      <c r="BD56" s="106">
        <v>101.20345</v>
      </c>
      <c r="BE56" s="106"/>
      <c r="BF56" s="106"/>
      <c r="BG56" s="106"/>
      <c r="BH56" s="106"/>
      <c r="BI56" s="111"/>
      <c r="BJ56" s="106"/>
      <c r="BK56" s="106"/>
      <c r="BL56" s="111"/>
      <c r="BM56" s="111"/>
      <c r="BN56" s="111"/>
      <c r="BO56" s="111"/>
      <c r="BP56" s="111"/>
      <c r="BQ56" s="109"/>
      <c r="BR56" s="109"/>
      <c r="BS56" s="109"/>
      <c r="BT56" s="109"/>
      <c r="BU56" s="138"/>
    </row>
    <row r="57" spans="1:73" ht="33.75" customHeight="1" outlineLevel="2">
      <c r="A57" s="18" t="s">
        <v>887</v>
      </c>
      <c r="B57" s="18" t="s">
        <v>1011</v>
      </c>
      <c r="C57" s="20" t="s">
        <v>587</v>
      </c>
      <c r="D57" s="202" t="s">
        <v>116</v>
      </c>
      <c r="E57" s="203" t="s">
        <v>1870</v>
      </c>
      <c r="F57" s="108">
        <f t="shared" si="0"/>
        <v>548.3760199999999</v>
      </c>
      <c r="G57" s="106">
        <f t="shared" si="1"/>
        <v>282.88353</v>
      </c>
      <c r="H57" s="106">
        <f t="shared" si="2"/>
        <v>265.49249</v>
      </c>
      <c r="I57" s="107"/>
      <c r="J57" s="107"/>
      <c r="K57" s="107"/>
      <c r="L57" s="107"/>
      <c r="M57" s="107"/>
      <c r="N57" s="107"/>
      <c r="O57" s="106">
        <v>38.08497</v>
      </c>
      <c r="P57" s="106">
        <v>1.88932</v>
      </c>
      <c r="Q57" s="106"/>
      <c r="R57" s="106"/>
      <c r="S57" s="106"/>
      <c r="T57" s="107"/>
      <c r="U57" s="107"/>
      <c r="V57" s="107"/>
      <c r="W57" s="107"/>
      <c r="X57" s="107"/>
      <c r="Y57" s="106">
        <v>6.08</v>
      </c>
      <c r="Z57" s="106">
        <v>15.972</v>
      </c>
      <c r="AA57" s="159">
        <v>113.57561</v>
      </c>
      <c r="AB57" s="106">
        <v>77.24851</v>
      </c>
      <c r="AC57" s="107"/>
      <c r="AD57" s="107"/>
      <c r="AE57" s="107"/>
      <c r="AF57" s="107"/>
      <c r="AG57" s="107"/>
      <c r="AH57" s="107"/>
      <c r="AI57" s="107"/>
      <c r="AJ57" s="108">
        <v>47.65924</v>
      </c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6"/>
      <c r="AZ57" s="107"/>
      <c r="BA57" s="107"/>
      <c r="BB57" s="107"/>
      <c r="BC57" s="107">
        <v>125.14295</v>
      </c>
      <c r="BD57" s="106">
        <v>122.72342</v>
      </c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9"/>
      <c r="BR57" s="109"/>
      <c r="BS57" s="109"/>
      <c r="BT57" s="109"/>
      <c r="BU57" s="138"/>
    </row>
    <row r="58" spans="1:73" ht="36" customHeight="1" outlineLevel="2">
      <c r="A58" s="18" t="s">
        <v>887</v>
      </c>
      <c r="B58" s="18" t="s">
        <v>1243</v>
      </c>
      <c r="C58" s="20" t="s">
        <v>587</v>
      </c>
      <c r="D58" s="202" t="s">
        <v>664</v>
      </c>
      <c r="E58" s="203" t="s">
        <v>1873</v>
      </c>
      <c r="F58" s="108">
        <f t="shared" si="0"/>
        <v>826.5263399999999</v>
      </c>
      <c r="G58" s="106">
        <f t="shared" si="1"/>
        <v>409.27450999999996</v>
      </c>
      <c r="H58" s="106">
        <f t="shared" si="2"/>
        <v>417.25183</v>
      </c>
      <c r="I58" s="107"/>
      <c r="J58" s="107"/>
      <c r="K58" s="107"/>
      <c r="L58" s="107"/>
      <c r="M58" s="107"/>
      <c r="N58" s="107"/>
      <c r="O58" s="106"/>
      <c r="P58" s="106"/>
      <c r="Q58" s="106"/>
      <c r="R58" s="106"/>
      <c r="S58" s="106"/>
      <c r="T58" s="107"/>
      <c r="U58" s="107"/>
      <c r="V58" s="107"/>
      <c r="W58" s="107">
        <v>147.26889</v>
      </c>
      <c r="X58" s="107">
        <v>76.88467</v>
      </c>
      <c r="Y58" s="106"/>
      <c r="Z58" s="106"/>
      <c r="AA58" s="159">
        <v>90.98075</v>
      </c>
      <c r="AB58" s="106">
        <v>59.42193</v>
      </c>
      <c r="AC58" s="107"/>
      <c r="AD58" s="107"/>
      <c r="AE58" s="107"/>
      <c r="AF58" s="107"/>
      <c r="AG58" s="107"/>
      <c r="AH58" s="107"/>
      <c r="AI58" s="107"/>
      <c r="AJ58" s="108">
        <v>0</v>
      </c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6"/>
      <c r="AZ58" s="107">
        <v>113.229</v>
      </c>
      <c r="BA58" s="107"/>
      <c r="BB58" s="107"/>
      <c r="BC58" s="107">
        <v>171.02487</v>
      </c>
      <c r="BD58" s="106">
        <v>167.71623</v>
      </c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9"/>
      <c r="BR58" s="109"/>
      <c r="BS58" s="109"/>
      <c r="BT58" s="109"/>
      <c r="BU58" s="138"/>
    </row>
    <row r="59" spans="1:73" ht="32.25" customHeight="1" outlineLevel="2">
      <c r="A59" s="18" t="s">
        <v>887</v>
      </c>
      <c r="B59" s="18" t="s">
        <v>114</v>
      </c>
      <c r="C59" s="20" t="s">
        <v>587</v>
      </c>
      <c r="D59" s="202" t="s">
        <v>115</v>
      </c>
      <c r="E59" s="203" t="s">
        <v>1874</v>
      </c>
      <c r="F59" s="108">
        <f t="shared" si="0"/>
        <v>2352.60435</v>
      </c>
      <c r="G59" s="106">
        <f t="shared" si="1"/>
        <v>163.47148</v>
      </c>
      <c r="H59" s="106">
        <f t="shared" si="2"/>
        <v>2189.13287</v>
      </c>
      <c r="I59" s="107"/>
      <c r="J59" s="107"/>
      <c r="K59" s="107"/>
      <c r="L59" s="107"/>
      <c r="M59" s="107">
        <v>217.19786</v>
      </c>
      <c r="N59" s="107"/>
      <c r="O59" s="106"/>
      <c r="P59" s="106"/>
      <c r="Q59" s="106"/>
      <c r="R59" s="106"/>
      <c r="S59" s="106"/>
      <c r="T59" s="107"/>
      <c r="U59" s="107"/>
      <c r="V59" s="107"/>
      <c r="W59" s="107"/>
      <c r="X59" s="107"/>
      <c r="Y59" s="106">
        <v>7.6</v>
      </c>
      <c r="Z59" s="106">
        <v>19.965</v>
      </c>
      <c r="AA59" s="159">
        <v>55.97368</v>
      </c>
      <c r="AB59" s="106">
        <v>39.61462</v>
      </c>
      <c r="AC59" s="107"/>
      <c r="AD59" s="107"/>
      <c r="AE59" s="107"/>
      <c r="AF59" s="107"/>
      <c r="AG59" s="107"/>
      <c r="AH59" s="107"/>
      <c r="AI59" s="107"/>
      <c r="AJ59" s="108">
        <v>13.443</v>
      </c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6"/>
      <c r="AZ59" s="107"/>
      <c r="BA59" s="107"/>
      <c r="BB59" s="107"/>
      <c r="BC59" s="107">
        <v>99.8978</v>
      </c>
      <c r="BD59" s="106">
        <v>97.96516</v>
      </c>
      <c r="BE59" s="107"/>
      <c r="BF59" s="107"/>
      <c r="BG59" s="107"/>
      <c r="BH59" s="107"/>
      <c r="BI59" s="107"/>
      <c r="BJ59" s="107">
        <v>1800.94723</v>
      </c>
      <c r="BK59" s="107"/>
      <c r="BL59" s="107"/>
      <c r="BM59" s="107"/>
      <c r="BN59" s="107"/>
      <c r="BO59" s="107"/>
      <c r="BP59" s="107"/>
      <c r="BQ59" s="109"/>
      <c r="BR59" s="109"/>
      <c r="BS59" s="109"/>
      <c r="BT59" s="109"/>
      <c r="BU59" s="138"/>
    </row>
    <row r="60" spans="1:73" ht="41.25" customHeight="1" outlineLevel="2">
      <c r="A60" s="17" t="s">
        <v>887</v>
      </c>
      <c r="B60" s="17" t="s">
        <v>117</v>
      </c>
      <c r="C60" s="20" t="s">
        <v>587</v>
      </c>
      <c r="D60" s="202" t="s">
        <v>118</v>
      </c>
      <c r="E60" s="203" t="s">
        <v>1871</v>
      </c>
      <c r="F60" s="108">
        <f t="shared" si="0"/>
        <v>69.48831</v>
      </c>
      <c r="G60" s="106">
        <f t="shared" si="1"/>
        <v>37.251419999999996</v>
      </c>
      <c r="H60" s="106">
        <f t="shared" si="2"/>
        <v>32.23689</v>
      </c>
      <c r="I60" s="107"/>
      <c r="J60" s="107"/>
      <c r="K60" s="107"/>
      <c r="L60" s="107"/>
      <c r="M60" s="107"/>
      <c r="N60" s="107"/>
      <c r="O60" s="106"/>
      <c r="P60" s="106"/>
      <c r="Q60" s="106"/>
      <c r="R60" s="106"/>
      <c r="S60" s="106"/>
      <c r="T60" s="107"/>
      <c r="U60" s="107"/>
      <c r="V60" s="107"/>
      <c r="W60" s="107"/>
      <c r="X60" s="107"/>
      <c r="Y60" s="107"/>
      <c r="Z60" s="106"/>
      <c r="AA60" s="159">
        <v>19.52709</v>
      </c>
      <c r="AB60" s="106">
        <v>14.85548</v>
      </c>
      <c r="AC60" s="107"/>
      <c r="AD60" s="107"/>
      <c r="AE60" s="107"/>
      <c r="AF60" s="107"/>
      <c r="AG60" s="107"/>
      <c r="AH60" s="107"/>
      <c r="AI60" s="107"/>
      <c r="AJ60" s="108">
        <v>0</v>
      </c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6"/>
      <c r="AZ60" s="107"/>
      <c r="BA60" s="107"/>
      <c r="BB60" s="107"/>
      <c r="BC60" s="107">
        <v>17.72433</v>
      </c>
      <c r="BD60" s="106">
        <v>17.38141</v>
      </c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9"/>
      <c r="BR60" s="109"/>
      <c r="BS60" s="109"/>
      <c r="BT60" s="109"/>
      <c r="BU60" s="138"/>
    </row>
    <row r="61" spans="1:73" ht="38.25" customHeight="1" outlineLevel="2">
      <c r="A61" s="18" t="s">
        <v>887</v>
      </c>
      <c r="B61" s="18" t="s">
        <v>1494</v>
      </c>
      <c r="C61" s="20" t="s">
        <v>587</v>
      </c>
      <c r="D61" s="202" t="s">
        <v>1495</v>
      </c>
      <c r="E61" s="203" t="s">
        <v>1872</v>
      </c>
      <c r="F61" s="108">
        <f t="shared" si="0"/>
        <v>980.4979599999999</v>
      </c>
      <c r="G61" s="106">
        <f t="shared" si="1"/>
        <v>304.81179</v>
      </c>
      <c r="H61" s="106">
        <f t="shared" si="2"/>
        <v>675.68617</v>
      </c>
      <c r="I61" s="107"/>
      <c r="J61" s="107"/>
      <c r="K61" s="107"/>
      <c r="L61" s="107"/>
      <c r="M61" s="107">
        <v>303.78912</v>
      </c>
      <c r="N61" s="107"/>
      <c r="O61" s="106"/>
      <c r="P61" s="106"/>
      <c r="Q61" s="106"/>
      <c r="R61" s="106"/>
      <c r="S61" s="106"/>
      <c r="T61" s="107"/>
      <c r="U61" s="107"/>
      <c r="V61" s="107"/>
      <c r="W61" s="107"/>
      <c r="X61" s="107"/>
      <c r="Y61" s="106"/>
      <c r="Z61" s="106"/>
      <c r="AA61" s="159">
        <v>170.26667</v>
      </c>
      <c r="AB61" s="106">
        <v>118.84385</v>
      </c>
      <c r="AC61" s="107"/>
      <c r="AD61" s="107"/>
      <c r="AE61" s="107"/>
      <c r="AF61" s="107"/>
      <c r="AG61" s="107"/>
      <c r="AH61" s="107"/>
      <c r="AI61" s="107"/>
      <c r="AJ61" s="108">
        <v>0</v>
      </c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6"/>
      <c r="AZ61" s="107"/>
      <c r="BA61" s="107"/>
      <c r="BB61" s="107"/>
      <c r="BC61" s="107">
        <v>134.54512</v>
      </c>
      <c r="BD61" s="106">
        <v>131.95135</v>
      </c>
      <c r="BE61" s="107"/>
      <c r="BF61" s="107"/>
      <c r="BG61" s="107"/>
      <c r="BH61" s="107"/>
      <c r="BI61" s="107"/>
      <c r="BJ61" s="107">
        <v>121.10185</v>
      </c>
      <c r="BK61" s="107"/>
      <c r="BL61" s="107"/>
      <c r="BM61" s="107"/>
      <c r="BN61" s="107"/>
      <c r="BO61" s="107"/>
      <c r="BP61" s="107"/>
      <c r="BQ61" s="109"/>
      <c r="BR61" s="109"/>
      <c r="BS61" s="109"/>
      <c r="BT61" s="109"/>
      <c r="BU61" s="138"/>
    </row>
    <row r="62" spans="1:73" ht="34.5" customHeight="1" outlineLevel="2">
      <c r="A62" s="18" t="s">
        <v>887</v>
      </c>
      <c r="B62" s="18" t="s">
        <v>223</v>
      </c>
      <c r="C62" s="20" t="s">
        <v>587</v>
      </c>
      <c r="D62" s="202" t="s">
        <v>1146</v>
      </c>
      <c r="E62" s="203" t="s">
        <v>1876</v>
      </c>
      <c r="F62" s="108">
        <f t="shared" si="0"/>
        <v>299.11338</v>
      </c>
      <c r="G62" s="106">
        <f t="shared" si="1"/>
        <v>141.62911000000003</v>
      </c>
      <c r="H62" s="106">
        <f t="shared" si="2"/>
        <v>157.48427</v>
      </c>
      <c r="I62" s="107"/>
      <c r="J62" s="107"/>
      <c r="K62" s="107"/>
      <c r="L62" s="107"/>
      <c r="M62" s="107"/>
      <c r="N62" s="107"/>
      <c r="O62" s="106"/>
      <c r="P62" s="106"/>
      <c r="Q62" s="106"/>
      <c r="R62" s="106"/>
      <c r="S62" s="106"/>
      <c r="T62" s="107"/>
      <c r="U62" s="107"/>
      <c r="V62" s="107"/>
      <c r="W62" s="107"/>
      <c r="X62" s="107"/>
      <c r="Y62" s="107">
        <v>10.64</v>
      </c>
      <c r="Z62" s="106">
        <v>27.951</v>
      </c>
      <c r="AA62" s="159"/>
      <c r="AB62" s="106"/>
      <c r="AC62" s="107"/>
      <c r="AD62" s="107"/>
      <c r="AE62" s="107"/>
      <c r="AF62" s="107"/>
      <c r="AG62" s="107"/>
      <c r="AH62" s="107"/>
      <c r="AI62" s="107"/>
      <c r="AJ62" s="108">
        <v>1.07544</v>
      </c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6"/>
      <c r="AZ62" s="107"/>
      <c r="BA62" s="107"/>
      <c r="BB62" s="107"/>
      <c r="BC62" s="107">
        <v>130.98911</v>
      </c>
      <c r="BD62" s="106">
        <v>128.45783</v>
      </c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9"/>
      <c r="BR62" s="109"/>
      <c r="BS62" s="109"/>
      <c r="BT62" s="109"/>
      <c r="BU62" s="138"/>
    </row>
    <row r="63" spans="1:73" ht="30.75" customHeight="1" outlineLevel="2">
      <c r="A63" s="18" t="s">
        <v>887</v>
      </c>
      <c r="B63" s="22" t="s">
        <v>847</v>
      </c>
      <c r="C63" s="20" t="s">
        <v>587</v>
      </c>
      <c r="D63" s="202" t="s">
        <v>44</v>
      </c>
      <c r="E63" s="203" t="s">
        <v>1875</v>
      </c>
      <c r="F63" s="108">
        <f t="shared" si="0"/>
        <v>119.64089</v>
      </c>
      <c r="G63" s="106">
        <f t="shared" si="1"/>
        <v>64.22592</v>
      </c>
      <c r="H63" s="106">
        <f t="shared" si="2"/>
        <v>55.41497</v>
      </c>
      <c r="I63" s="107"/>
      <c r="J63" s="107"/>
      <c r="K63" s="107"/>
      <c r="L63" s="107"/>
      <c r="M63" s="107"/>
      <c r="N63" s="107"/>
      <c r="O63" s="106"/>
      <c r="P63" s="106"/>
      <c r="Q63" s="106"/>
      <c r="R63" s="106"/>
      <c r="S63" s="106"/>
      <c r="T63" s="107"/>
      <c r="U63" s="107"/>
      <c r="V63" s="107"/>
      <c r="W63" s="107"/>
      <c r="X63" s="107"/>
      <c r="Y63" s="107"/>
      <c r="Z63" s="106"/>
      <c r="AA63" s="159">
        <v>25.8972</v>
      </c>
      <c r="AB63" s="106">
        <v>17.82658</v>
      </c>
      <c r="AC63" s="107"/>
      <c r="AD63" s="107"/>
      <c r="AE63" s="107"/>
      <c r="AF63" s="107"/>
      <c r="AG63" s="107"/>
      <c r="AH63" s="107"/>
      <c r="AI63" s="107"/>
      <c r="AJ63" s="108">
        <v>0</v>
      </c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6"/>
      <c r="AZ63" s="107"/>
      <c r="BA63" s="107"/>
      <c r="BB63" s="107"/>
      <c r="BC63" s="107">
        <v>38.32872</v>
      </c>
      <c r="BD63" s="106">
        <v>37.58839</v>
      </c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9"/>
      <c r="BR63" s="109"/>
      <c r="BS63" s="109"/>
      <c r="BT63" s="109"/>
      <c r="BU63" s="138"/>
    </row>
    <row r="64" spans="1:73" ht="45.75" customHeight="1" outlineLevel="2">
      <c r="A64" s="17" t="s">
        <v>887</v>
      </c>
      <c r="B64" s="17" t="s">
        <v>1152</v>
      </c>
      <c r="C64" s="20" t="s">
        <v>934</v>
      </c>
      <c r="D64" s="202" t="s">
        <v>1585</v>
      </c>
      <c r="E64" s="208" t="s">
        <v>1878</v>
      </c>
      <c r="F64" s="108">
        <f t="shared" si="0"/>
        <v>52.8241</v>
      </c>
      <c r="G64" s="106">
        <f t="shared" si="1"/>
        <v>0</v>
      </c>
      <c r="H64" s="106">
        <f t="shared" si="2"/>
        <v>52.8241</v>
      </c>
      <c r="I64" s="107"/>
      <c r="J64" s="107"/>
      <c r="K64" s="107"/>
      <c r="L64" s="107"/>
      <c r="M64" s="107"/>
      <c r="N64" s="107"/>
      <c r="O64" s="106"/>
      <c r="P64" s="106"/>
      <c r="Q64" s="106"/>
      <c r="R64" s="106"/>
      <c r="S64" s="160"/>
      <c r="T64" s="107"/>
      <c r="U64" s="107"/>
      <c r="V64" s="107"/>
      <c r="W64" s="107"/>
      <c r="X64" s="107"/>
      <c r="Y64" s="107"/>
      <c r="Z64" s="106"/>
      <c r="AA64" s="106"/>
      <c r="AB64" s="106"/>
      <c r="AC64" s="107"/>
      <c r="AD64" s="107"/>
      <c r="AE64" s="107"/>
      <c r="AF64" s="107"/>
      <c r="AG64" s="107"/>
      <c r="AH64" s="107"/>
      <c r="AI64" s="107"/>
      <c r="AJ64" s="108">
        <v>0</v>
      </c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6"/>
      <c r="AZ64" s="107"/>
      <c r="BA64" s="107"/>
      <c r="BB64" s="107"/>
      <c r="BC64" s="107"/>
      <c r="BD64" s="106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>
        <v>52.8241</v>
      </c>
      <c r="BO64" s="107"/>
      <c r="BP64" s="107"/>
      <c r="BQ64" s="109"/>
      <c r="BR64" s="109"/>
      <c r="BS64" s="109"/>
      <c r="BT64" s="109"/>
      <c r="BU64" s="138"/>
    </row>
    <row r="65" spans="1:73" ht="34.5" customHeight="1" outlineLevel="2">
      <c r="A65" s="17" t="s">
        <v>887</v>
      </c>
      <c r="B65" s="17" t="s">
        <v>378</v>
      </c>
      <c r="C65" s="20" t="s">
        <v>934</v>
      </c>
      <c r="D65" s="202" t="s">
        <v>379</v>
      </c>
      <c r="E65" s="203" t="s">
        <v>1868</v>
      </c>
      <c r="F65" s="108">
        <f t="shared" si="0"/>
        <v>3757.06775</v>
      </c>
      <c r="G65" s="106">
        <f t="shared" si="1"/>
        <v>421.07654</v>
      </c>
      <c r="H65" s="106">
        <f t="shared" si="2"/>
        <v>3335.99121</v>
      </c>
      <c r="I65" s="107"/>
      <c r="J65" s="107"/>
      <c r="K65" s="107">
        <v>160.9746</v>
      </c>
      <c r="L65" s="107">
        <v>65.02977</v>
      </c>
      <c r="M65" s="107">
        <v>82.07722</v>
      </c>
      <c r="N65" s="107"/>
      <c r="O65" s="106">
        <v>260.10194</v>
      </c>
      <c r="P65" s="106">
        <f>13.68958+38.84889</f>
        <v>52.53847</v>
      </c>
      <c r="Q65" s="106"/>
      <c r="R65" s="106"/>
      <c r="S65" s="160"/>
      <c r="T65" s="107"/>
      <c r="U65" s="107"/>
      <c r="V65" s="107"/>
      <c r="W65" s="107"/>
      <c r="X65" s="107"/>
      <c r="Y65" s="107"/>
      <c r="Z65" s="106"/>
      <c r="AA65" s="106"/>
      <c r="AB65" s="106"/>
      <c r="AC65" s="107"/>
      <c r="AD65" s="107"/>
      <c r="AE65" s="107"/>
      <c r="AF65" s="107"/>
      <c r="AG65" s="107"/>
      <c r="AH65" s="107"/>
      <c r="AI65" s="107"/>
      <c r="AJ65" s="108">
        <v>0</v>
      </c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6"/>
      <c r="AZ65" s="107"/>
      <c r="BA65" s="107"/>
      <c r="BB65" s="107"/>
      <c r="BC65" s="107"/>
      <c r="BD65" s="106"/>
      <c r="BE65" s="107"/>
      <c r="BF65" s="107"/>
      <c r="BG65" s="107"/>
      <c r="BH65" s="107"/>
      <c r="BI65" s="107"/>
      <c r="BJ65" s="107">
        <v>1193.00496</v>
      </c>
      <c r="BK65" s="107"/>
      <c r="BL65" s="107"/>
      <c r="BM65" s="107"/>
      <c r="BN65" s="106">
        <v>1943.34079</v>
      </c>
      <c r="BO65" s="107"/>
      <c r="BP65" s="107"/>
      <c r="BQ65" s="109"/>
      <c r="BR65" s="109"/>
      <c r="BS65" s="109"/>
      <c r="BT65" s="109"/>
      <c r="BU65" s="138"/>
    </row>
    <row r="66" spans="1:73" ht="36.75" customHeight="1" outlineLevel="2">
      <c r="A66" s="17" t="s">
        <v>887</v>
      </c>
      <c r="B66" s="17" t="s">
        <v>392</v>
      </c>
      <c r="C66" s="20" t="s">
        <v>934</v>
      </c>
      <c r="D66" s="202" t="s">
        <v>1586</v>
      </c>
      <c r="E66" s="203" t="s">
        <v>1877</v>
      </c>
      <c r="F66" s="108">
        <f t="shared" si="0"/>
        <v>103.84461</v>
      </c>
      <c r="G66" s="106">
        <f t="shared" si="1"/>
        <v>0</v>
      </c>
      <c r="H66" s="106">
        <f t="shared" si="2"/>
        <v>103.84461</v>
      </c>
      <c r="I66" s="107"/>
      <c r="J66" s="107"/>
      <c r="K66" s="107"/>
      <c r="L66" s="107"/>
      <c r="M66" s="107"/>
      <c r="N66" s="107"/>
      <c r="O66" s="106"/>
      <c r="P66" s="106"/>
      <c r="Q66" s="106"/>
      <c r="R66" s="106"/>
      <c r="S66" s="160"/>
      <c r="T66" s="107"/>
      <c r="U66" s="107"/>
      <c r="V66" s="107"/>
      <c r="W66" s="107"/>
      <c r="X66" s="107"/>
      <c r="Y66" s="107"/>
      <c r="Z66" s="106"/>
      <c r="AA66" s="106"/>
      <c r="AB66" s="106"/>
      <c r="AC66" s="107"/>
      <c r="AD66" s="107"/>
      <c r="AE66" s="107"/>
      <c r="AF66" s="107"/>
      <c r="AG66" s="107"/>
      <c r="AH66" s="107"/>
      <c r="AI66" s="107"/>
      <c r="AJ66" s="108">
        <v>0</v>
      </c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6"/>
      <c r="AZ66" s="107"/>
      <c r="BA66" s="107"/>
      <c r="BB66" s="107"/>
      <c r="BC66" s="107"/>
      <c r="BD66" s="106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>
        <v>103.84461</v>
      </c>
      <c r="BO66" s="112"/>
      <c r="BP66" s="112"/>
      <c r="BQ66" s="109"/>
      <c r="BR66" s="109"/>
      <c r="BS66" s="109"/>
      <c r="BT66" s="109"/>
      <c r="BU66" s="138"/>
    </row>
    <row r="67" spans="1:73" ht="33" customHeight="1" outlineLevel="2" thickBot="1">
      <c r="A67" s="26" t="s">
        <v>887</v>
      </c>
      <c r="B67" s="26" t="s">
        <v>380</v>
      </c>
      <c r="C67" s="27" t="s">
        <v>934</v>
      </c>
      <c r="D67" s="215" t="s">
        <v>381</v>
      </c>
      <c r="E67" s="203" t="s">
        <v>1869</v>
      </c>
      <c r="F67" s="108">
        <f t="shared" si="0"/>
        <v>851.0027299999999</v>
      </c>
      <c r="G67" s="106">
        <f t="shared" si="1"/>
        <v>101.66652</v>
      </c>
      <c r="H67" s="106">
        <f t="shared" si="2"/>
        <v>749.3362099999999</v>
      </c>
      <c r="I67" s="113"/>
      <c r="J67" s="113"/>
      <c r="K67" s="113"/>
      <c r="L67" s="113"/>
      <c r="M67" s="113"/>
      <c r="N67" s="113"/>
      <c r="O67" s="114">
        <v>101.66652</v>
      </c>
      <c r="P67" s="114">
        <v>5.35087</v>
      </c>
      <c r="Q67" s="114"/>
      <c r="R67" s="114"/>
      <c r="S67" s="161"/>
      <c r="T67" s="113"/>
      <c r="U67" s="113"/>
      <c r="V67" s="113"/>
      <c r="W67" s="113"/>
      <c r="X67" s="113"/>
      <c r="Y67" s="113"/>
      <c r="Z67" s="114"/>
      <c r="AA67" s="114"/>
      <c r="AB67" s="114"/>
      <c r="AC67" s="113"/>
      <c r="AD67" s="113"/>
      <c r="AE67" s="113"/>
      <c r="AF67" s="113"/>
      <c r="AG67" s="113"/>
      <c r="AH67" s="113"/>
      <c r="AI67" s="113"/>
      <c r="AJ67" s="108">
        <v>0</v>
      </c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4"/>
      <c r="AZ67" s="113"/>
      <c r="BA67" s="113"/>
      <c r="BB67" s="113"/>
      <c r="BC67" s="113"/>
      <c r="BD67" s="114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>
        <v>743.98534</v>
      </c>
      <c r="BO67" s="113"/>
      <c r="BP67" s="113"/>
      <c r="BQ67" s="115"/>
      <c r="BR67" s="115"/>
      <c r="BS67" s="115"/>
      <c r="BT67" s="115"/>
      <c r="BU67" s="139"/>
    </row>
    <row r="68" spans="1:73" s="32" customFormat="1" ht="21" outlineLevel="1" thickBot="1">
      <c r="A68" s="147" t="s">
        <v>472</v>
      </c>
      <c r="B68" s="29"/>
      <c r="C68" s="30" t="s">
        <v>1572</v>
      </c>
      <c r="D68" s="216"/>
      <c r="E68" s="217"/>
      <c r="F68" s="116">
        <f aca="true" t="shared" si="3" ref="F68:AL68">SUBTOTAL(9,F7:F67)</f>
        <v>145530.95053</v>
      </c>
      <c r="G68" s="116">
        <f t="shared" si="3"/>
        <v>49129.15324</v>
      </c>
      <c r="H68" s="116">
        <f t="shared" si="3"/>
        <v>96401.79728999997</v>
      </c>
      <c r="I68" s="116">
        <f t="shared" si="3"/>
        <v>15527.17951</v>
      </c>
      <c r="J68" s="116">
        <f t="shared" si="3"/>
        <v>3052.72876</v>
      </c>
      <c r="K68" s="116">
        <f t="shared" si="3"/>
        <v>1977.6918099999998</v>
      </c>
      <c r="L68" s="116">
        <f t="shared" si="3"/>
        <v>526.9999200000001</v>
      </c>
      <c r="M68" s="116">
        <f t="shared" si="3"/>
        <v>2479.85129</v>
      </c>
      <c r="N68" s="116">
        <f t="shared" si="3"/>
        <v>18309.813000000002</v>
      </c>
      <c r="O68" s="116">
        <f t="shared" si="3"/>
        <v>570.1445</v>
      </c>
      <c r="P68" s="116">
        <f t="shared" si="3"/>
        <v>67.00614999999999</v>
      </c>
      <c r="Q68" s="116">
        <f t="shared" si="3"/>
        <v>544.34541</v>
      </c>
      <c r="R68" s="116">
        <f t="shared" si="3"/>
        <v>0</v>
      </c>
      <c r="S68" s="116">
        <f t="shared" si="3"/>
        <v>131.73731</v>
      </c>
      <c r="T68" s="116">
        <f t="shared" si="3"/>
        <v>65.86865</v>
      </c>
      <c r="U68" s="116">
        <f t="shared" si="3"/>
        <v>0</v>
      </c>
      <c r="V68" s="116">
        <f t="shared" si="3"/>
        <v>0</v>
      </c>
      <c r="W68" s="116">
        <f t="shared" si="3"/>
        <v>4324.596020000001</v>
      </c>
      <c r="X68" s="116">
        <f t="shared" si="3"/>
        <v>2257.74192</v>
      </c>
      <c r="Y68" s="116">
        <f t="shared" si="3"/>
        <v>318.37909999999994</v>
      </c>
      <c r="Z68" s="116">
        <f t="shared" si="3"/>
        <v>1039.72275</v>
      </c>
      <c r="AA68" s="116">
        <f t="shared" si="3"/>
        <v>8219.804129999999</v>
      </c>
      <c r="AB68" s="116">
        <f t="shared" si="3"/>
        <v>5322.223950000001</v>
      </c>
      <c r="AC68" s="116">
        <f t="shared" si="3"/>
        <v>0</v>
      </c>
      <c r="AD68" s="116">
        <f t="shared" si="3"/>
        <v>0</v>
      </c>
      <c r="AE68" s="116">
        <f t="shared" si="3"/>
        <v>0</v>
      </c>
      <c r="AF68" s="116">
        <f t="shared" si="3"/>
        <v>0</v>
      </c>
      <c r="AG68" s="116">
        <f t="shared" si="3"/>
        <v>252.53429999999997</v>
      </c>
      <c r="AH68" s="116"/>
      <c r="AI68" s="116"/>
      <c r="AJ68" s="116">
        <f>SUBTOTAL(9,AJ7:AJ67)</f>
        <v>3069.783240000001</v>
      </c>
      <c r="AK68" s="116">
        <f t="shared" si="3"/>
        <v>58.094899999999996</v>
      </c>
      <c r="AL68" s="116">
        <f t="shared" si="3"/>
        <v>0</v>
      </c>
      <c r="AM68" s="116">
        <f aca="true" t="shared" si="4" ref="AM68:BJ68">SUBTOTAL(9,AM7:AM67)</f>
        <v>0</v>
      </c>
      <c r="AN68" s="116">
        <f t="shared" si="4"/>
        <v>0</v>
      </c>
      <c r="AO68" s="116">
        <f t="shared" si="4"/>
        <v>0</v>
      </c>
      <c r="AP68" s="116">
        <f t="shared" si="4"/>
        <v>0</v>
      </c>
      <c r="AQ68" s="116">
        <f t="shared" si="4"/>
        <v>0</v>
      </c>
      <c r="AR68" s="116">
        <f t="shared" si="4"/>
        <v>0</v>
      </c>
      <c r="AS68" s="116">
        <f t="shared" si="4"/>
        <v>0</v>
      </c>
      <c r="AT68" s="116">
        <f t="shared" si="4"/>
        <v>0</v>
      </c>
      <c r="AU68" s="116">
        <f t="shared" si="4"/>
        <v>0</v>
      </c>
      <c r="AV68" s="116">
        <f t="shared" si="4"/>
        <v>815.36</v>
      </c>
      <c r="AW68" s="116">
        <f t="shared" si="4"/>
        <v>0</v>
      </c>
      <c r="AX68" s="116">
        <f t="shared" si="4"/>
        <v>4444.55075</v>
      </c>
      <c r="AY68" s="116">
        <f t="shared" si="4"/>
        <v>2320.0978800000003</v>
      </c>
      <c r="AZ68" s="116">
        <f t="shared" si="4"/>
        <v>158.769</v>
      </c>
      <c r="BA68" s="116">
        <f t="shared" si="4"/>
        <v>4712.66327</v>
      </c>
      <c r="BB68" s="116">
        <f t="shared" si="4"/>
        <v>0</v>
      </c>
      <c r="BC68" s="116">
        <f t="shared" si="4"/>
        <v>13615.070109999995</v>
      </c>
      <c r="BD68" s="116">
        <f t="shared" si="4"/>
        <v>13343.767480000004</v>
      </c>
      <c r="BE68" s="116">
        <f t="shared" si="4"/>
        <v>1233.9549000000002</v>
      </c>
      <c r="BF68" s="116">
        <f t="shared" si="4"/>
        <v>0</v>
      </c>
      <c r="BG68" s="116">
        <f t="shared" si="4"/>
        <v>0</v>
      </c>
      <c r="BH68" s="116">
        <f t="shared" si="4"/>
        <v>0</v>
      </c>
      <c r="BI68" s="116">
        <f t="shared" si="4"/>
        <v>0</v>
      </c>
      <c r="BJ68" s="116">
        <f t="shared" si="4"/>
        <v>15631.378469999998</v>
      </c>
      <c r="BK68" s="116"/>
      <c r="BL68" s="116">
        <f aca="true" t="shared" si="5" ref="BL68:BU68">SUBTOTAL(9,BL7:BL67)</f>
        <v>0</v>
      </c>
      <c r="BM68" s="116">
        <f t="shared" si="5"/>
        <v>2238.0472099999997</v>
      </c>
      <c r="BN68" s="116">
        <f t="shared" si="5"/>
        <v>2843.9948400000003</v>
      </c>
      <c r="BO68" s="116">
        <f t="shared" si="5"/>
        <v>0</v>
      </c>
      <c r="BP68" s="116">
        <f t="shared" si="5"/>
        <v>0</v>
      </c>
      <c r="BQ68" s="116">
        <f t="shared" si="5"/>
        <v>500</v>
      </c>
      <c r="BR68" s="116">
        <f t="shared" si="5"/>
        <v>0</v>
      </c>
      <c r="BS68" s="116">
        <f t="shared" si="5"/>
        <v>4194.55</v>
      </c>
      <c r="BT68" s="116">
        <f t="shared" si="5"/>
        <v>0</v>
      </c>
      <c r="BU68" s="116">
        <f t="shared" si="5"/>
        <v>11362.5</v>
      </c>
    </row>
    <row r="69" spans="1:73" ht="24" customHeight="1" outlineLevel="2">
      <c r="A69" s="35" t="s">
        <v>473</v>
      </c>
      <c r="B69" s="37" t="s">
        <v>1335</v>
      </c>
      <c r="C69" s="20" t="s">
        <v>1496</v>
      </c>
      <c r="D69" s="218" t="s">
        <v>1336</v>
      </c>
      <c r="E69" s="203" t="s">
        <v>1922</v>
      </c>
      <c r="F69" s="108">
        <f aca="true" t="shared" si="6" ref="F69:F126">G69+H69</f>
        <v>15836.8737</v>
      </c>
      <c r="G69" s="106">
        <f aca="true" t="shared" si="7" ref="G69:G91">I69+K69+O69+S69+U69+W69+Y69+AA69+AC69+AE69+AR69+AX69+BC69+BG69+BP69+BR69+BT69+AO69</f>
        <v>7507.328130000001</v>
      </c>
      <c r="H69" s="106">
        <f aca="true" t="shared" si="8" ref="H69:H91">J69+L69+M69+N69+P69+Q69+R69+T69+V69+X69+Z69+AB69+AD69+AF69+AG69+AJ69+AL69+AS69+AT69+AU69+AV69+AW69+AY69+AZ69+BA69+BB69+BD69+BE69+BF69+BH69+BI69+BJ69+BL69+BM69+BN69+BO69+BQ69+BS69+BU69+AH69+AI69+AK69+AM69+AN69+AP69+AQ69+BK69</f>
        <v>8329.54557</v>
      </c>
      <c r="I69" s="107"/>
      <c r="J69" s="107"/>
      <c r="K69" s="107">
        <v>2150.88499</v>
      </c>
      <c r="L69" s="107">
        <v>456.00583</v>
      </c>
      <c r="M69" s="107"/>
      <c r="N69" s="107"/>
      <c r="O69" s="106"/>
      <c r="P69" s="106"/>
      <c r="Q69" s="106"/>
      <c r="R69" s="106"/>
      <c r="S69" s="106"/>
      <c r="T69" s="107"/>
      <c r="U69" s="107"/>
      <c r="V69" s="107"/>
      <c r="W69" s="107">
        <v>1230.86314</v>
      </c>
      <c r="X69" s="107">
        <v>642.59675</v>
      </c>
      <c r="Y69" s="107">
        <v>174.8</v>
      </c>
      <c r="Z69" s="106"/>
      <c r="AA69" s="159">
        <v>2071.80028</v>
      </c>
      <c r="AB69" s="106">
        <v>757.82764</v>
      </c>
      <c r="AC69" s="107"/>
      <c r="AD69" s="107"/>
      <c r="AE69" s="107"/>
      <c r="AF69" s="107"/>
      <c r="AG69" s="107"/>
      <c r="AH69" s="107"/>
      <c r="AI69" s="107"/>
      <c r="AJ69" s="108">
        <v>461.88728</v>
      </c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6"/>
      <c r="AZ69" s="107"/>
      <c r="BA69" s="107">
        <v>932.29686</v>
      </c>
      <c r="BB69" s="107"/>
      <c r="BC69" s="107">
        <v>1878.97972</v>
      </c>
      <c r="BD69" s="107">
        <v>1842.60768</v>
      </c>
      <c r="BE69" s="107"/>
      <c r="BF69" s="107"/>
      <c r="BG69" s="107"/>
      <c r="BH69" s="107"/>
      <c r="BI69" s="107"/>
      <c r="BJ69" s="107">
        <v>3236.32353</v>
      </c>
      <c r="BK69" s="107"/>
      <c r="BL69" s="107"/>
      <c r="BM69" s="107"/>
      <c r="BN69" s="107"/>
      <c r="BO69" s="107"/>
      <c r="BP69" s="107"/>
      <c r="BQ69" s="109"/>
      <c r="BR69" s="109"/>
      <c r="BS69" s="109"/>
      <c r="BT69" s="109"/>
      <c r="BU69" s="138"/>
    </row>
    <row r="70" spans="1:73" ht="42" customHeight="1" outlineLevel="2">
      <c r="A70" s="35" t="s">
        <v>473</v>
      </c>
      <c r="B70" s="37" t="s">
        <v>1339</v>
      </c>
      <c r="C70" s="20" t="s">
        <v>1496</v>
      </c>
      <c r="D70" s="218" t="s">
        <v>1340</v>
      </c>
      <c r="E70" s="203" t="s">
        <v>1923</v>
      </c>
      <c r="F70" s="108">
        <f t="shared" si="6"/>
        <v>848.07326</v>
      </c>
      <c r="G70" s="106">
        <f t="shared" si="7"/>
        <v>497.71591</v>
      </c>
      <c r="H70" s="106">
        <f t="shared" si="8"/>
        <v>350.35735</v>
      </c>
      <c r="I70" s="107"/>
      <c r="J70" s="107"/>
      <c r="K70" s="107"/>
      <c r="L70" s="107"/>
      <c r="M70" s="107"/>
      <c r="N70" s="107"/>
      <c r="O70" s="106"/>
      <c r="P70" s="106"/>
      <c r="Q70" s="106"/>
      <c r="R70" s="106"/>
      <c r="S70" s="106">
        <v>18.10088</v>
      </c>
      <c r="T70" s="107">
        <v>9.05044</v>
      </c>
      <c r="U70" s="107"/>
      <c r="V70" s="107"/>
      <c r="W70" s="107"/>
      <c r="X70" s="107"/>
      <c r="Y70" s="107"/>
      <c r="Z70" s="106"/>
      <c r="AA70" s="159">
        <v>272.96248</v>
      </c>
      <c r="AB70" s="106">
        <v>138.65116</v>
      </c>
      <c r="AC70" s="107"/>
      <c r="AD70" s="107"/>
      <c r="AE70" s="107"/>
      <c r="AF70" s="107"/>
      <c r="AG70" s="107"/>
      <c r="AH70" s="107"/>
      <c r="AI70" s="107"/>
      <c r="AJ70" s="108">
        <v>0</v>
      </c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6"/>
      <c r="AZ70" s="107"/>
      <c r="BA70" s="107"/>
      <c r="BB70" s="107"/>
      <c r="BC70" s="107">
        <v>206.65255</v>
      </c>
      <c r="BD70" s="107">
        <v>202.65575</v>
      </c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9"/>
      <c r="BR70" s="109"/>
      <c r="BS70" s="109"/>
      <c r="BT70" s="109"/>
      <c r="BU70" s="138"/>
    </row>
    <row r="71" spans="1:73" ht="36.75" customHeight="1" outlineLevel="2">
      <c r="A71" s="38" t="s">
        <v>473</v>
      </c>
      <c r="B71" s="39" t="s">
        <v>1345</v>
      </c>
      <c r="C71" s="27" t="s">
        <v>1496</v>
      </c>
      <c r="D71" s="219" t="s">
        <v>1346</v>
      </c>
      <c r="E71" s="203" t="s">
        <v>1921</v>
      </c>
      <c r="F71" s="108">
        <f t="shared" si="6"/>
        <v>1715.58311</v>
      </c>
      <c r="G71" s="106">
        <f t="shared" si="7"/>
        <v>1142.50594</v>
      </c>
      <c r="H71" s="106">
        <f t="shared" si="8"/>
        <v>573.07717</v>
      </c>
      <c r="I71" s="113"/>
      <c r="J71" s="113"/>
      <c r="K71" s="113">
        <v>598.48721</v>
      </c>
      <c r="L71" s="113">
        <v>99.19163</v>
      </c>
      <c r="M71" s="113"/>
      <c r="N71" s="113"/>
      <c r="O71" s="114"/>
      <c r="P71" s="114"/>
      <c r="Q71" s="114"/>
      <c r="R71" s="114"/>
      <c r="S71" s="114"/>
      <c r="T71" s="113"/>
      <c r="U71" s="113"/>
      <c r="V71" s="113"/>
      <c r="W71" s="113"/>
      <c r="X71" s="113"/>
      <c r="Y71" s="113"/>
      <c r="Z71" s="114"/>
      <c r="AA71" s="162">
        <v>188.62293</v>
      </c>
      <c r="AB71" s="114">
        <v>99.03655</v>
      </c>
      <c r="AC71" s="113"/>
      <c r="AD71" s="113"/>
      <c r="AE71" s="113"/>
      <c r="AF71" s="113"/>
      <c r="AG71" s="113"/>
      <c r="AH71" s="113"/>
      <c r="AI71" s="113"/>
      <c r="AJ71" s="108">
        <v>26.33712</v>
      </c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4"/>
      <c r="AZ71" s="113"/>
      <c r="BA71" s="113"/>
      <c r="BB71" s="113"/>
      <c r="BC71" s="113">
        <v>355.3958</v>
      </c>
      <c r="BD71" s="113">
        <v>348.51187</v>
      </c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5"/>
      <c r="BR71" s="115"/>
      <c r="BS71" s="115"/>
      <c r="BT71" s="115"/>
      <c r="BU71" s="139"/>
    </row>
    <row r="72" spans="1:73" ht="39" customHeight="1" outlineLevel="2">
      <c r="A72" s="35" t="s">
        <v>473</v>
      </c>
      <c r="B72" s="36" t="s">
        <v>1378</v>
      </c>
      <c r="C72" s="20" t="s">
        <v>587</v>
      </c>
      <c r="D72" s="218" t="s">
        <v>1296</v>
      </c>
      <c r="E72" s="220" t="s">
        <v>1909</v>
      </c>
      <c r="F72" s="108">
        <f t="shared" si="6"/>
        <v>39.80329</v>
      </c>
      <c r="G72" s="106">
        <f t="shared" si="7"/>
        <v>25.732509999999998</v>
      </c>
      <c r="H72" s="106">
        <f t="shared" si="8"/>
        <v>14.07078</v>
      </c>
      <c r="I72" s="107"/>
      <c r="J72" s="107"/>
      <c r="K72" s="107"/>
      <c r="L72" s="107"/>
      <c r="M72" s="107"/>
      <c r="N72" s="107"/>
      <c r="O72" s="106"/>
      <c r="P72" s="106"/>
      <c r="Q72" s="106"/>
      <c r="R72" s="106"/>
      <c r="S72" s="106"/>
      <c r="T72" s="107"/>
      <c r="U72" s="107"/>
      <c r="V72" s="107"/>
      <c r="W72" s="107"/>
      <c r="X72" s="107"/>
      <c r="Y72" s="107"/>
      <c r="Z72" s="106"/>
      <c r="AA72" s="106"/>
      <c r="AB72" s="106"/>
      <c r="AC72" s="107"/>
      <c r="AD72" s="107"/>
      <c r="AE72" s="107"/>
      <c r="AF72" s="107"/>
      <c r="AG72" s="107"/>
      <c r="AH72" s="107"/>
      <c r="AI72" s="107"/>
      <c r="AJ72" s="108">
        <v>0</v>
      </c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>
        <v>16.91038</v>
      </c>
      <c r="AY72" s="106">
        <v>5.42003</v>
      </c>
      <c r="AZ72" s="107"/>
      <c r="BA72" s="107"/>
      <c r="BB72" s="107"/>
      <c r="BC72" s="107">
        <v>8.82213</v>
      </c>
      <c r="BD72" s="107">
        <v>8.65075</v>
      </c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9"/>
      <c r="BR72" s="109"/>
      <c r="BS72" s="109"/>
      <c r="BT72" s="109"/>
      <c r="BU72" s="138"/>
    </row>
    <row r="73" spans="1:73" ht="39" customHeight="1" outlineLevel="2">
      <c r="A73" s="35" t="s">
        <v>473</v>
      </c>
      <c r="B73" s="36" t="s">
        <v>1527</v>
      </c>
      <c r="C73" s="20" t="s">
        <v>587</v>
      </c>
      <c r="D73" s="218" t="s">
        <v>1219</v>
      </c>
      <c r="E73" s="220" t="s">
        <v>1910</v>
      </c>
      <c r="F73" s="108">
        <f t="shared" si="6"/>
        <v>288.54903</v>
      </c>
      <c r="G73" s="106">
        <f t="shared" si="7"/>
        <v>142.67745</v>
      </c>
      <c r="H73" s="106">
        <f t="shared" si="8"/>
        <v>145.87158</v>
      </c>
      <c r="I73" s="107"/>
      <c r="J73" s="107"/>
      <c r="K73" s="107"/>
      <c r="L73" s="107"/>
      <c r="M73" s="107"/>
      <c r="N73" s="107"/>
      <c r="O73" s="106"/>
      <c r="P73" s="106"/>
      <c r="Q73" s="106"/>
      <c r="R73" s="106"/>
      <c r="S73" s="106"/>
      <c r="T73" s="107"/>
      <c r="U73" s="107"/>
      <c r="V73" s="107"/>
      <c r="W73" s="107"/>
      <c r="X73" s="107"/>
      <c r="Y73" s="107"/>
      <c r="Z73" s="106"/>
      <c r="AA73" s="159">
        <v>45.92041</v>
      </c>
      <c r="AB73" s="106">
        <v>25.7495</v>
      </c>
      <c r="AC73" s="107"/>
      <c r="AD73" s="107"/>
      <c r="AE73" s="107"/>
      <c r="AF73" s="107"/>
      <c r="AG73" s="107"/>
      <c r="AH73" s="107"/>
      <c r="AI73" s="107"/>
      <c r="AJ73" s="108">
        <v>0</v>
      </c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>
        <v>44.16</v>
      </c>
      <c r="AV73" s="107"/>
      <c r="AW73" s="107"/>
      <c r="AX73" s="107">
        <v>33.24896</v>
      </c>
      <c r="AY73" s="106">
        <v>13.68167</v>
      </c>
      <c r="AZ73" s="107"/>
      <c r="BA73" s="107"/>
      <c r="BB73" s="107"/>
      <c r="BC73" s="107">
        <v>63.50808</v>
      </c>
      <c r="BD73" s="107">
        <v>62.28041</v>
      </c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9"/>
      <c r="BR73" s="109"/>
      <c r="BS73" s="109"/>
      <c r="BT73" s="109"/>
      <c r="BU73" s="138"/>
    </row>
    <row r="74" spans="1:73" ht="39" customHeight="1" outlineLevel="2">
      <c r="A74" s="35" t="s">
        <v>473</v>
      </c>
      <c r="B74" s="36" t="s">
        <v>1598</v>
      </c>
      <c r="C74" s="20" t="s">
        <v>587</v>
      </c>
      <c r="D74" s="218" t="s">
        <v>1655</v>
      </c>
      <c r="E74" s="220" t="s">
        <v>1911</v>
      </c>
      <c r="F74" s="108">
        <f t="shared" si="6"/>
        <v>1529.4717899999998</v>
      </c>
      <c r="G74" s="106">
        <f t="shared" si="7"/>
        <v>65.17312</v>
      </c>
      <c r="H74" s="106">
        <f t="shared" si="8"/>
        <v>1464.29867</v>
      </c>
      <c r="I74" s="107"/>
      <c r="J74" s="107"/>
      <c r="K74" s="107"/>
      <c r="L74" s="107"/>
      <c r="M74" s="107"/>
      <c r="N74" s="107"/>
      <c r="O74" s="106"/>
      <c r="P74" s="106"/>
      <c r="Q74" s="106"/>
      <c r="R74" s="106"/>
      <c r="S74" s="106"/>
      <c r="T74" s="107"/>
      <c r="U74" s="107"/>
      <c r="V74" s="107"/>
      <c r="W74" s="107"/>
      <c r="X74" s="107"/>
      <c r="Y74" s="107"/>
      <c r="Z74" s="106"/>
      <c r="AA74" s="159"/>
      <c r="AB74" s="106"/>
      <c r="AC74" s="107"/>
      <c r="AD74" s="107"/>
      <c r="AE74" s="107"/>
      <c r="AF74" s="107"/>
      <c r="AG74" s="107"/>
      <c r="AH74" s="107"/>
      <c r="AI74" s="107"/>
      <c r="AJ74" s="108">
        <v>0</v>
      </c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>
        <v>19.36254</v>
      </c>
      <c r="AY74" s="106">
        <v>6.37791</v>
      </c>
      <c r="AZ74" s="107"/>
      <c r="BA74" s="107"/>
      <c r="BB74" s="107"/>
      <c r="BC74" s="107">
        <v>45.81058</v>
      </c>
      <c r="BD74" s="107">
        <v>44.92076</v>
      </c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9"/>
      <c r="BR74" s="109"/>
      <c r="BS74" s="109">
        <v>1413</v>
      </c>
      <c r="BT74" s="109"/>
      <c r="BU74" s="138"/>
    </row>
    <row r="75" spans="1:73" ht="39" customHeight="1" outlineLevel="2">
      <c r="A75" s="35" t="s">
        <v>473</v>
      </c>
      <c r="B75" s="36" t="s">
        <v>1523</v>
      </c>
      <c r="C75" s="20" t="s">
        <v>587</v>
      </c>
      <c r="D75" s="218" t="s">
        <v>1218</v>
      </c>
      <c r="E75" s="220" t="s">
        <v>1912</v>
      </c>
      <c r="F75" s="108">
        <f t="shared" si="6"/>
        <v>1165.1485700000003</v>
      </c>
      <c r="G75" s="106">
        <f t="shared" si="7"/>
        <v>550.65186</v>
      </c>
      <c r="H75" s="106">
        <f t="shared" si="8"/>
        <v>614.4967100000001</v>
      </c>
      <c r="I75" s="107"/>
      <c r="J75" s="107"/>
      <c r="K75" s="107"/>
      <c r="L75" s="107"/>
      <c r="M75" s="107"/>
      <c r="N75" s="107"/>
      <c r="O75" s="106"/>
      <c r="P75" s="106"/>
      <c r="Q75" s="106"/>
      <c r="R75" s="106"/>
      <c r="S75" s="106"/>
      <c r="T75" s="107"/>
      <c r="U75" s="107"/>
      <c r="V75" s="107"/>
      <c r="W75" s="107"/>
      <c r="X75" s="107"/>
      <c r="Y75" s="107"/>
      <c r="Z75" s="106"/>
      <c r="AA75" s="106"/>
      <c r="AB75" s="106"/>
      <c r="AC75" s="107"/>
      <c r="AD75" s="107"/>
      <c r="AE75" s="107"/>
      <c r="AF75" s="107"/>
      <c r="AG75" s="107">
        <v>5.0826</v>
      </c>
      <c r="AH75" s="107"/>
      <c r="AI75" s="107"/>
      <c r="AJ75" s="108">
        <v>0</v>
      </c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>
        <v>443.29169</v>
      </c>
      <c r="AY75" s="106">
        <v>124.5077</v>
      </c>
      <c r="AZ75" s="107">
        <v>189.117</v>
      </c>
      <c r="BA75" s="107"/>
      <c r="BB75" s="107"/>
      <c r="BC75" s="107">
        <v>107.36017</v>
      </c>
      <c r="BD75" s="107">
        <v>105.27741</v>
      </c>
      <c r="BE75" s="107"/>
      <c r="BF75" s="107"/>
      <c r="BG75" s="107"/>
      <c r="BH75" s="107"/>
      <c r="BI75" s="107"/>
      <c r="BJ75" s="107"/>
      <c r="BK75" s="107"/>
      <c r="BL75" s="107"/>
      <c r="BM75" s="107">
        <v>190.512</v>
      </c>
      <c r="BN75" s="107"/>
      <c r="BO75" s="107"/>
      <c r="BP75" s="107"/>
      <c r="BQ75" s="109"/>
      <c r="BR75" s="109"/>
      <c r="BS75" s="109"/>
      <c r="BT75" s="109"/>
      <c r="BU75" s="138"/>
    </row>
    <row r="76" spans="1:73" ht="39" customHeight="1" outlineLevel="2">
      <c r="A76" s="35" t="s">
        <v>473</v>
      </c>
      <c r="B76" s="36" t="s">
        <v>1524</v>
      </c>
      <c r="C76" s="20" t="s">
        <v>587</v>
      </c>
      <c r="D76" s="218" t="s">
        <v>926</v>
      </c>
      <c r="E76" s="220" t="s">
        <v>1913</v>
      </c>
      <c r="F76" s="108">
        <f t="shared" si="6"/>
        <v>91.09157</v>
      </c>
      <c r="G76" s="106">
        <f t="shared" si="7"/>
        <v>45.99177</v>
      </c>
      <c r="H76" s="106">
        <f t="shared" si="8"/>
        <v>45.0998</v>
      </c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08">
        <v>0</v>
      </c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07">
        <v>45.99177</v>
      </c>
      <c r="BD76" s="107">
        <v>45.0998</v>
      </c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9"/>
      <c r="BR76" s="109"/>
      <c r="BS76" s="109"/>
      <c r="BT76" s="109"/>
      <c r="BU76" s="138"/>
    </row>
    <row r="77" spans="1:73" ht="39" customHeight="1" outlineLevel="2">
      <c r="A77" s="35" t="s">
        <v>473</v>
      </c>
      <c r="B77" s="36" t="s">
        <v>1379</v>
      </c>
      <c r="C77" s="20" t="s">
        <v>587</v>
      </c>
      <c r="D77" s="218" t="s">
        <v>1407</v>
      </c>
      <c r="E77" s="220" t="s">
        <v>1914</v>
      </c>
      <c r="F77" s="108">
        <f t="shared" si="6"/>
        <v>2317.1226</v>
      </c>
      <c r="G77" s="106">
        <f t="shared" si="7"/>
        <v>198.85557999999997</v>
      </c>
      <c r="H77" s="106">
        <f t="shared" si="8"/>
        <v>2118.2670200000002</v>
      </c>
      <c r="I77" s="107"/>
      <c r="J77" s="107"/>
      <c r="K77" s="107">
        <v>78.42497</v>
      </c>
      <c r="L77" s="107">
        <v>28.67318</v>
      </c>
      <c r="M77" s="107">
        <v>243.70288</v>
      </c>
      <c r="N77" s="107"/>
      <c r="O77" s="106"/>
      <c r="P77" s="106"/>
      <c r="Q77" s="106"/>
      <c r="R77" s="106"/>
      <c r="S77" s="106"/>
      <c r="T77" s="107"/>
      <c r="U77" s="107"/>
      <c r="V77" s="107"/>
      <c r="W77" s="107"/>
      <c r="X77" s="107"/>
      <c r="Y77" s="107"/>
      <c r="Z77" s="106"/>
      <c r="AA77" s="106">
        <v>51.64557</v>
      </c>
      <c r="AB77" s="106">
        <v>29.71096</v>
      </c>
      <c r="AC77" s="107"/>
      <c r="AD77" s="107"/>
      <c r="AE77" s="107"/>
      <c r="AF77" s="107"/>
      <c r="AG77" s="107"/>
      <c r="AH77" s="107"/>
      <c r="AI77" s="107"/>
      <c r="AJ77" s="108">
        <v>0</v>
      </c>
      <c r="AK77" s="107"/>
      <c r="AL77" s="107"/>
      <c r="AM77" s="107"/>
      <c r="AN77" s="106">
        <v>31.05</v>
      </c>
      <c r="AO77" s="107"/>
      <c r="AP77" s="107"/>
      <c r="AQ77" s="107">
        <v>25.875</v>
      </c>
      <c r="AR77" s="107"/>
      <c r="AS77" s="107"/>
      <c r="AT77" s="107"/>
      <c r="AU77" s="107"/>
      <c r="AV77" s="107"/>
      <c r="AW77" s="107"/>
      <c r="AX77" s="107"/>
      <c r="AY77" s="106"/>
      <c r="AZ77" s="107"/>
      <c r="BA77" s="107"/>
      <c r="BB77" s="107"/>
      <c r="BC77" s="107">
        <v>68.78504</v>
      </c>
      <c r="BD77" s="107">
        <v>67.45409</v>
      </c>
      <c r="BE77" s="107"/>
      <c r="BF77" s="107"/>
      <c r="BG77" s="107"/>
      <c r="BH77" s="107"/>
      <c r="BI77" s="107"/>
      <c r="BJ77" s="107">
        <v>1414.39091</v>
      </c>
      <c r="BK77" s="107"/>
      <c r="BL77" s="107"/>
      <c r="BM77" s="107">
        <v>277.41</v>
      </c>
      <c r="BN77" s="107"/>
      <c r="BO77" s="107"/>
      <c r="BP77" s="107"/>
      <c r="BQ77" s="109"/>
      <c r="BR77" s="109"/>
      <c r="BS77" s="109"/>
      <c r="BT77" s="109"/>
      <c r="BU77" s="138"/>
    </row>
    <row r="78" spans="1:73" ht="39" customHeight="1" outlineLevel="2">
      <c r="A78" s="35" t="s">
        <v>473</v>
      </c>
      <c r="B78" s="36" t="s">
        <v>1528</v>
      </c>
      <c r="C78" s="20" t="s">
        <v>587</v>
      </c>
      <c r="D78" s="218" t="s">
        <v>925</v>
      </c>
      <c r="E78" s="220" t="s">
        <v>1915</v>
      </c>
      <c r="F78" s="108">
        <f t="shared" si="6"/>
        <v>39.13565</v>
      </c>
      <c r="G78" s="106">
        <f t="shared" si="7"/>
        <v>19.75928</v>
      </c>
      <c r="H78" s="106">
        <f t="shared" si="8"/>
        <v>19.37637</v>
      </c>
      <c r="I78" s="107"/>
      <c r="J78" s="107"/>
      <c r="K78" s="107"/>
      <c r="L78" s="107"/>
      <c r="M78" s="107"/>
      <c r="N78" s="107"/>
      <c r="O78" s="106"/>
      <c r="P78" s="106"/>
      <c r="Q78" s="106"/>
      <c r="R78" s="106"/>
      <c r="S78" s="106"/>
      <c r="T78" s="107"/>
      <c r="U78" s="107"/>
      <c r="V78" s="107"/>
      <c r="W78" s="107"/>
      <c r="X78" s="107"/>
      <c r="Y78" s="107"/>
      <c r="Z78" s="106"/>
      <c r="AA78" s="106"/>
      <c r="AB78" s="106"/>
      <c r="AC78" s="107"/>
      <c r="AD78" s="107"/>
      <c r="AE78" s="107"/>
      <c r="AF78" s="107"/>
      <c r="AG78" s="107"/>
      <c r="AH78" s="107"/>
      <c r="AI78" s="107"/>
      <c r="AJ78" s="108">
        <v>0</v>
      </c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6"/>
      <c r="AZ78" s="107"/>
      <c r="BA78" s="107"/>
      <c r="BB78" s="107"/>
      <c r="BC78" s="107">
        <v>19.75928</v>
      </c>
      <c r="BD78" s="107">
        <v>19.37637</v>
      </c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9"/>
      <c r="BR78" s="109"/>
      <c r="BS78" s="109"/>
      <c r="BT78" s="109"/>
      <c r="BU78" s="138"/>
    </row>
    <row r="79" spans="1:73" ht="39" customHeight="1" outlineLevel="2">
      <c r="A79" s="35" t="s">
        <v>473</v>
      </c>
      <c r="B79" s="36" t="s">
        <v>1526</v>
      </c>
      <c r="C79" s="20" t="s">
        <v>587</v>
      </c>
      <c r="D79" s="218" t="s">
        <v>1500</v>
      </c>
      <c r="E79" s="220" t="s">
        <v>1916</v>
      </c>
      <c r="F79" s="108">
        <f t="shared" si="6"/>
        <v>3072.8012900000003</v>
      </c>
      <c r="G79" s="106">
        <f t="shared" si="7"/>
        <v>1852.6707900000001</v>
      </c>
      <c r="H79" s="106">
        <f t="shared" si="8"/>
        <v>1220.1305</v>
      </c>
      <c r="I79" s="107">
        <v>79.02651</v>
      </c>
      <c r="J79" s="107">
        <v>20.75571</v>
      </c>
      <c r="K79" s="107"/>
      <c r="L79" s="107"/>
      <c r="M79" s="107"/>
      <c r="N79" s="107"/>
      <c r="O79" s="106">
        <f>433.27734+86.91357</f>
        <v>520.19091</v>
      </c>
      <c r="P79" s="106">
        <f>19.26396+41.4685</f>
        <v>60.73246</v>
      </c>
      <c r="Q79" s="106"/>
      <c r="R79" s="106"/>
      <c r="S79" s="106"/>
      <c r="T79" s="107"/>
      <c r="U79" s="107"/>
      <c r="V79" s="107"/>
      <c r="W79" s="107"/>
      <c r="X79" s="107"/>
      <c r="Y79" s="107"/>
      <c r="Z79" s="106"/>
      <c r="AA79" s="159">
        <v>104.18415</v>
      </c>
      <c r="AB79" s="106">
        <v>59.42193</v>
      </c>
      <c r="AC79" s="107"/>
      <c r="AD79" s="107"/>
      <c r="AE79" s="107"/>
      <c r="AF79" s="107"/>
      <c r="AG79" s="107"/>
      <c r="AH79" s="107"/>
      <c r="AI79" s="107"/>
      <c r="AJ79" s="108">
        <v>0</v>
      </c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>
        <v>684.45182</v>
      </c>
      <c r="AY79" s="106">
        <v>256.47473</v>
      </c>
      <c r="AZ79" s="107">
        <v>318.555</v>
      </c>
      <c r="BA79" s="107"/>
      <c r="BB79" s="107"/>
      <c r="BC79" s="107">
        <v>367.02274</v>
      </c>
      <c r="BD79" s="107">
        <v>359.91933</v>
      </c>
      <c r="BE79" s="107"/>
      <c r="BF79" s="107"/>
      <c r="BG79" s="107">
        <v>97.79466</v>
      </c>
      <c r="BH79" s="107">
        <v>144.27134</v>
      </c>
      <c r="BI79" s="107"/>
      <c r="BJ79" s="107"/>
      <c r="BK79" s="107"/>
      <c r="BL79" s="107"/>
      <c r="BM79" s="107"/>
      <c r="BN79" s="107"/>
      <c r="BO79" s="107"/>
      <c r="BP79" s="107"/>
      <c r="BQ79" s="109"/>
      <c r="BR79" s="109"/>
      <c r="BS79" s="109"/>
      <c r="BT79" s="109"/>
      <c r="BU79" s="138"/>
    </row>
    <row r="80" spans="1:73" ht="39" customHeight="1" outlineLevel="2">
      <c r="A80" s="35" t="s">
        <v>473</v>
      </c>
      <c r="B80" s="36" t="s">
        <v>364</v>
      </c>
      <c r="C80" s="20" t="s">
        <v>587</v>
      </c>
      <c r="D80" s="218" t="s">
        <v>609</v>
      </c>
      <c r="E80" s="220" t="s">
        <v>1917</v>
      </c>
      <c r="F80" s="108">
        <f t="shared" si="6"/>
        <v>2308.4355400000004</v>
      </c>
      <c r="G80" s="106">
        <f t="shared" si="7"/>
        <v>575.16652</v>
      </c>
      <c r="H80" s="106">
        <f t="shared" si="8"/>
        <v>1733.2690200000002</v>
      </c>
      <c r="I80" s="107"/>
      <c r="J80" s="107"/>
      <c r="K80" s="107">
        <v>167.25225</v>
      </c>
      <c r="L80" s="107">
        <v>83.62615</v>
      </c>
      <c r="M80" s="107"/>
      <c r="N80" s="107"/>
      <c r="O80" s="106">
        <v>43.94975</v>
      </c>
      <c r="P80" s="106">
        <v>1.9792</v>
      </c>
      <c r="Q80" s="106"/>
      <c r="R80" s="106"/>
      <c r="S80" s="106"/>
      <c r="T80" s="107"/>
      <c r="U80" s="107"/>
      <c r="V80" s="107"/>
      <c r="W80" s="107"/>
      <c r="X80" s="107"/>
      <c r="Y80" s="107">
        <v>53.2</v>
      </c>
      <c r="Z80" s="106">
        <v>139.755</v>
      </c>
      <c r="AA80" s="159">
        <v>138.23749</v>
      </c>
      <c r="AB80" s="106">
        <v>71.30631</v>
      </c>
      <c r="AC80" s="107"/>
      <c r="AD80" s="107"/>
      <c r="AE80" s="107"/>
      <c r="AF80" s="107"/>
      <c r="AG80" s="107"/>
      <c r="AH80" s="107"/>
      <c r="AI80" s="107"/>
      <c r="AJ80" s="108">
        <v>6.99036</v>
      </c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6"/>
      <c r="AZ80" s="107"/>
      <c r="BA80" s="107"/>
      <c r="BB80" s="107"/>
      <c r="BC80" s="107">
        <v>172.52703</v>
      </c>
      <c r="BD80" s="107">
        <v>169.19408</v>
      </c>
      <c r="BE80" s="107"/>
      <c r="BF80" s="107"/>
      <c r="BG80" s="107"/>
      <c r="BH80" s="107"/>
      <c r="BI80" s="107"/>
      <c r="BJ80" s="107">
        <v>1260.41792</v>
      </c>
      <c r="BK80" s="107"/>
      <c r="BL80" s="107"/>
      <c r="BM80" s="107"/>
      <c r="BN80" s="107"/>
      <c r="BO80" s="107"/>
      <c r="BP80" s="107"/>
      <c r="BQ80" s="109"/>
      <c r="BR80" s="109"/>
      <c r="BS80" s="109"/>
      <c r="BT80" s="109"/>
      <c r="BU80" s="138"/>
    </row>
    <row r="81" spans="1:73" ht="39" customHeight="1" outlineLevel="2">
      <c r="A81" s="35" t="s">
        <v>473</v>
      </c>
      <c r="B81" s="36" t="s">
        <v>824</v>
      </c>
      <c r="C81" s="20" t="s">
        <v>587</v>
      </c>
      <c r="D81" s="218" t="s">
        <v>1279</v>
      </c>
      <c r="E81" s="203" t="s">
        <v>1919</v>
      </c>
      <c r="F81" s="108">
        <f t="shared" si="6"/>
        <v>58.5</v>
      </c>
      <c r="G81" s="106">
        <f t="shared" si="7"/>
        <v>0</v>
      </c>
      <c r="H81" s="106">
        <f t="shared" si="8"/>
        <v>58.5</v>
      </c>
      <c r="I81" s="107"/>
      <c r="J81" s="107"/>
      <c r="K81" s="107"/>
      <c r="L81" s="107"/>
      <c r="M81" s="107"/>
      <c r="N81" s="107"/>
      <c r="O81" s="106"/>
      <c r="P81" s="106"/>
      <c r="Q81" s="106"/>
      <c r="R81" s="106"/>
      <c r="S81" s="106"/>
      <c r="T81" s="107"/>
      <c r="U81" s="107"/>
      <c r="V81" s="107"/>
      <c r="W81" s="107"/>
      <c r="X81" s="107"/>
      <c r="Y81" s="107"/>
      <c r="Z81" s="106"/>
      <c r="AA81" s="106"/>
      <c r="AB81" s="106"/>
      <c r="AC81" s="107"/>
      <c r="AD81" s="107"/>
      <c r="AE81" s="107"/>
      <c r="AF81" s="107"/>
      <c r="AG81" s="107"/>
      <c r="AH81" s="107"/>
      <c r="AI81" s="107"/>
      <c r="AJ81" s="108">
        <v>0</v>
      </c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6"/>
      <c r="AZ81" s="107">
        <v>58.5</v>
      </c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9"/>
      <c r="BR81" s="109"/>
      <c r="BS81" s="109"/>
      <c r="BT81" s="109"/>
      <c r="BU81" s="138"/>
    </row>
    <row r="82" spans="1:73" ht="39" customHeight="1" outlineLevel="2">
      <c r="A82" s="35" t="s">
        <v>473</v>
      </c>
      <c r="B82" s="22" t="s">
        <v>853</v>
      </c>
      <c r="C82" s="20" t="s">
        <v>587</v>
      </c>
      <c r="D82" s="218" t="s">
        <v>927</v>
      </c>
      <c r="E82" s="220" t="s">
        <v>1918</v>
      </c>
      <c r="F82" s="108">
        <f t="shared" si="6"/>
        <v>167.70493000000002</v>
      </c>
      <c r="G82" s="106">
        <f t="shared" si="7"/>
        <v>93.69353000000001</v>
      </c>
      <c r="H82" s="106">
        <f t="shared" si="8"/>
        <v>74.01140000000001</v>
      </c>
      <c r="I82" s="107"/>
      <c r="J82" s="107"/>
      <c r="K82" s="107"/>
      <c r="L82" s="107"/>
      <c r="M82" s="107"/>
      <c r="N82" s="107"/>
      <c r="O82" s="106"/>
      <c r="P82" s="106"/>
      <c r="Q82" s="106"/>
      <c r="R82" s="106"/>
      <c r="S82" s="106"/>
      <c r="T82" s="107"/>
      <c r="U82" s="107"/>
      <c r="V82" s="107"/>
      <c r="W82" s="107"/>
      <c r="X82" s="107"/>
      <c r="Y82" s="107"/>
      <c r="Z82" s="106"/>
      <c r="AA82" s="159">
        <v>38.41915</v>
      </c>
      <c r="AB82" s="106">
        <v>19.80731</v>
      </c>
      <c r="AC82" s="107"/>
      <c r="AD82" s="107"/>
      <c r="AE82" s="107"/>
      <c r="AF82" s="107"/>
      <c r="AG82" s="107"/>
      <c r="AH82" s="107"/>
      <c r="AI82" s="107"/>
      <c r="AJ82" s="108">
        <v>0</v>
      </c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6"/>
      <c r="AZ82" s="107"/>
      <c r="BA82" s="107"/>
      <c r="BB82" s="107"/>
      <c r="BC82" s="107">
        <v>55.27438</v>
      </c>
      <c r="BD82" s="107">
        <v>54.20409</v>
      </c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9"/>
      <c r="BR82" s="109"/>
      <c r="BS82" s="109"/>
      <c r="BT82" s="109"/>
      <c r="BU82" s="138"/>
    </row>
    <row r="83" spans="1:73" ht="60.75" outlineLevel="2">
      <c r="A83" s="35" t="s">
        <v>473</v>
      </c>
      <c r="B83" s="22" t="s">
        <v>1608</v>
      </c>
      <c r="C83" s="20" t="s">
        <v>587</v>
      </c>
      <c r="D83" s="218" t="s">
        <v>1656</v>
      </c>
      <c r="E83" s="220" t="s">
        <v>1920</v>
      </c>
      <c r="F83" s="108">
        <f t="shared" si="6"/>
        <v>35.78678</v>
      </c>
      <c r="G83" s="106">
        <f t="shared" si="7"/>
        <v>18.06882</v>
      </c>
      <c r="H83" s="106">
        <f t="shared" si="8"/>
        <v>17.71796</v>
      </c>
      <c r="I83" s="107"/>
      <c r="J83" s="107"/>
      <c r="K83" s="107"/>
      <c r="L83" s="107"/>
      <c r="M83" s="107"/>
      <c r="N83" s="107"/>
      <c r="O83" s="106"/>
      <c r="P83" s="106"/>
      <c r="Q83" s="106"/>
      <c r="R83" s="106"/>
      <c r="S83" s="106"/>
      <c r="T83" s="107"/>
      <c r="U83" s="107"/>
      <c r="V83" s="107"/>
      <c r="W83" s="107"/>
      <c r="X83" s="107"/>
      <c r="Y83" s="107"/>
      <c r="Z83" s="106"/>
      <c r="AA83" s="159"/>
      <c r="AB83" s="106"/>
      <c r="AC83" s="107"/>
      <c r="AD83" s="107"/>
      <c r="AE83" s="107"/>
      <c r="AF83" s="107"/>
      <c r="AG83" s="107"/>
      <c r="AH83" s="107"/>
      <c r="AI83" s="107"/>
      <c r="AJ83" s="108">
        <v>0</v>
      </c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6"/>
      <c r="AZ83" s="107"/>
      <c r="BA83" s="107"/>
      <c r="BB83" s="107"/>
      <c r="BC83" s="107">
        <v>18.06882</v>
      </c>
      <c r="BD83" s="107">
        <v>17.71796</v>
      </c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9"/>
      <c r="BR83" s="109"/>
      <c r="BS83" s="109"/>
      <c r="BT83" s="109"/>
      <c r="BU83" s="138"/>
    </row>
    <row r="84" spans="1:73" ht="60.75" outlineLevel="2">
      <c r="A84" s="35" t="s">
        <v>473</v>
      </c>
      <c r="B84" s="19" t="s">
        <v>1047</v>
      </c>
      <c r="C84" s="20" t="s">
        <v>587</v>
      </c>
      <c r="D84" s="218" t="s">
        <v>1048</v>
      </c>
      <c r="E84" s="220" t="s">
        <v>1924</v>
      </c>
      <c r="F84" s="108">
        <f t="shared" si="6"/>
        <v>265.83069</v>
      </c>
      <c r="G84" s="106">
        <f t="shared" si="7"/>
        <v>132.58665000000002</v>
      </c>
      <c r="H84" s="106">
        <f t="shared" si="8"/>
        <v>133.24403999999998</v>
      </c>
      <c r="I84" s="107"/>
      <c r="J84" s="107"/>
      <c r="K84" s="107"/>
      <c r="L84" s="107"/>
      <c r="M84" s="107"/>
      <c r="N84" s="107"/>
      <c r="O84" s="106"/>
      <c r="P84" s="106"/>
      <c r="Q84" s="106"/>
      <c r="R84" s="106"/>
      <c r="S84" s="106"/>
      <c r="T84" s="107"/>
      <c r="U84" s="107"/>
      <c r="V84" s="107"/>
      <c r="W84" s="107"/>
      <c r="X84" s="107"/>
      <c r="Y84" s="107"/>
      <c r="Z84" s="106"/>
      <c r="AA84" s="106"/>
      <c r="AB84" s="106"/>
      <c r="AC84" s="107"/>
      <c r="AD84" s="107"/>
      <c r="AE84" s="107"/>
      <c r="AF84" s="107"/>
      <c r="AG84" s="107"/>
      <c r="AH84" s="107"/>
      <c r="AI84" s="107"/>
      <c r="AJ84" s="108">
        <v>0</v>
      </c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>
        <v>46.2561</v>
      </c>
      <c r="AY84" s="106">
        <v>16.00894</v>
      </c>
      <c r="AZ84" s="107">
        <v>32.58</v>
      </c>
      <c r="BA84" s="107"/>
      <c r="BB84" s="107"/>
      <c r="BC84" s="107">
        <v>86.33055</v>
      </c>
      <c r="BD84" s="107">
        <v>84.6551</v>
      </c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9"/>
      <c r="BR84" s="109"/>
      <c r="BS84" s="109"/>
      <c r="BT84" s="109"/>
      <c r="BU84" s="138"/>
    </row>
    <row r="85" spans="1:73" ht="23.25" customHeight="1" outlineLevel="2">
      <c r="A85" s="35" t="s">
        <v>473</v>
      </c>
      <c r="B85" s="19" t="s">
        <v>1525</v>
      </c>
      <c r="C85" s="20" t="s">
        <v>587</v>
      </c>
      <c r="D85" s="218" t="s">
        <v>610</v>
      </c>
      <c r="E85" s="220" t="s">
        <v>1925</v>
      </c>
      <c r="F85" s="108">
        <f t="shared" si="6"/>
        <v>260.93003999999996</v>
      </c>
      <c r="G85" s="106">
        <f t="shared" si="7"/>
        <v>151.56649</v>
      </c>
      <c r="H85" s="106">
        <f t="shared" si="8"/>
        <v>109.36355</v>
      </c>
      <c r="I85" s="107"/>
      <c r="J85" s="107"/>
      <c r="K85" s="107"/>
      <c r="L85" s="107"/>
      <c r="M85" s="107"/>
      <c r="N85" s="107"/>
      <c r="O85" s="106"/>
      <c r="P85" s="106"/>
      <c r="Q85" s="106"/>
      <c r="R85" s="106"/>
      <c r="S85" s="106"/>
      <c r="T85" s="107"/>
      <c r="U85" s="107"/>
      <c r="V85" s="107"/>
      <c r="W85" s="107"/>
      <c r="X85" s="107"/>
      <c r="Y85" s="107"/>
      <c r="Z85" s="106"/>
      <c r="AA85" s="159">
        <v>90.54099</v>
      </c>
      <c r="AB85" s="106">
        <v>49.51827</v>
      </c>
      <c r="AC85" s="107"/>
      <c r="AD85" s="107"/>
      <c r="AE85" s="107"/>
      <c r="AF85" s="107"/>
      <c r="AG85" s="107"/>
      <c r="AH85" s="107"/>
      <c r="AI85" s="107"/>
      <c r="AJ85" s="108">
        <v>0</v>
      </c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6"/>
      <c r="AZ85" s="107"/>
      <c r="BA85" s="107"/>
      <c r="BB85" s="107"/>
      <c r="BC85" s="107">
        <v>61.0255</v>
      </c>
      <c r="BD85" s="107">
        <v>59.84528</v>
      </c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9"/>
      <c r="BR85" s="109"/>
      <c r="BS85" s="109"/>
      <c r="BT85" s="109"/>
      <c r="BU85" s="138"/>
    </row>
    <row r="86" spans="1:73" ht="37.5" customHeight="1" outlineLevel="2">
      <c r="A86" s="35" t="s">
        <v>473</v>
      </c>
      <c r="B86" s="37" t="s">
        <v>20</v>
      </c>
      <c r="C86" s="20" t="s">
        <v>934</v>
      </c>
      <c r="D86" s="218" t="s">
        <v>80</v>
      </c>
      <c r="E86" s="203" t="s">
        <v>1931</v>
      </c>
      <c r="F86" s="108">
        <f t="shared" si="6"/>
        <v>134.68946</v>
      </c>
      <c r="G86" s="106">
        <f t="shared" si="7"/>
        <v>127.95498</v>
      </c>
      <c r="H86" s="106">
        <f t="shared" si="8"/>
        <v>6.73448</v>
      </c>
      <c r="I86" s="107"/>
      <c r="J86" s="107"/>
      <c r="K86" s="107"/>
      <c r="L86" s="107"/>
      <c r="M86" s="107"/>
      <c r="N86" s="107"/>
      <c r="O86" s="106">
        <v>127.95498</v>
      </c>
      <c r="P86" s="106">
        <v>6.73448</v>
      </c>
      <c r="Q86" s="106"/>
      <c r="R86" s="106"/>
      <c r="S86" s="106"/>
      <c r="T86" s="107"/>
      <c r="U86" s="107"/>
      <c r="V86" s="107"/>
      <c r="W86" s="107"/>
      <c r="X86" s="107"/>
      <c r="Y86" s="107"/>
      <c r="Z86" s="106"/>
      <c r="AA86" s="106"/>
      <c r="AB86" s="106"/>
      <c r="AC86" s="107"/>
      <c r="AD86" s="107"/>
      <c r="AE86" s="107"/>
      <c r="AF86" s="107"/>
      <c r="AG86" s="107"/>
      <c r="AH86" s="107"/>
      <c r="AI86" s="107"/>
      <c r="AJ86" s="108">
        <v>0</v>
      </c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6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9"/>
      <c r="BR86" s="109"/>
      <c r="BS86" s="109"/>
      <c r="BT86" s="109"/>
      <c r="BU86" s="138"/>
    </row>
    <row r="87" spans="1:73" ht="33" customHeight="1" outlineLevel="2">
      <c r="A87" s="35" t="s">
        <v>473</v>
      </c>
      <c r="B87" s="37" t="s">
        <v>1343</v>
      </c>
      <c r="C87" s="20" t="s">
        <v>934</v>
      </c>
      <c r="D87" s="218" t="s">
        <v>1344</v>
      </c>
      <c r="E87" s="203" t="s">
        <v>1930</v>
      </c>
      <c r="F87" s="108">
        <f t="shared" si="6"/>
        <v>52.796</v>
      </c>
      <c r="G87" s="106">
        <f t="shared" si="7"/>
        <v>0</v>
      </c>
      <c r="H87" s="106">
        <f t="shared" si="8"/>
        <v>52.796</v>
      </c>
      <c r="I87" s="107"/>
      <c r="J87" s="107"/>
      <c r="K87" s="107"/>
      <c r="L87" s="107"/>
      <c r="M87" s="107"/>
      <c r="N87" s="107"/>
      <c r="O87" s="106"/>
      <c r="P87" s="106"/>
      <c r="Q87" s="106"/>
      <c r="R87" s="106"/>
      <c r="S87" s="106"/>
      <c r="T87" s="107"/>
      <c r="U87" s="107"/>
      <c r="V87" s="107"/>
      <c r="W87" s="107"/>
      <c r="X87" s="107"/>
      <c r="Y87" s="107"/>
      <c r="Z87" s="106"/>
      <c r="AA87" s="106"/>
      <c r="AB87" s="106"/>
      <c r="AC87" s="107"/>
      <c r="AD87" s="107"/>
      <c r="AE87" s="107"/>
      <c r="AF87" s="107"/>
      <c r="AG87" s="107"/>
      <c r="AH87" s="107"/>
      <c r="AI87" s="107"/>
      <c r="AJ87" s="108">
        <v>0</v>
      </c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6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>
        <v>52.796</v>
      </c>
      <c r="BO87" s="107"/>
      <c r="BP87" s="107"/>
      <c r="BQ87" s="109"/>
      <c r="BR87" s="109"/>
      <c r="BS87" s="109"/>
      <c r="BT87" s="109"/>
      <c r="BU87" s="138"/>
    </row>
    <row r="88" spans="1:73" ht="39" customHeight="1" outlineLevel="2">
      <c r="A88" s="35" t="s">
        <v>473</v>
      </c>
      <c r="B88" s="37" t="s">
        <v>1341</v>
      </c>
      <c r="C88" s="20" t="s">
        <v>934</v>
      </c>
      <c r="D88" s="218" t="s">
        <v>1342</v>
      </c>
      <c r="E88" s="203" t="s">
        <v>1929</v>
      </c>
      <c r="F88" s="108">
        <f t="shared" si="6"/>
        <v>8105.38481</v>
      </c>
      <c r="G88" s="106">
        <f t="shared" si="7"/>
        <v>3826.54792</v>
      </c>
      <c r="H88" s="106">
        <f t="shared" si="8"/>
        <v>4278.83689</v>
      </c>
      <c r="I88" s="107"/>
      <c r="J88" s="107"/>
      <c r="K88" s="107"/>
      <c r="L88" s="107"/>
      <c r="M88" s="107"/>
      <c r="N88" s="107"/>
      <c r="O88" s="106">
        <v>3826.54792</v>
      </c>
      <c r="P88" s="106">
        <v>193.20343</v>
      </c>
      <c r="Q88" s="106"/>
      <c r="R88" s="106"/>
      <c r="S88" s="106"/>
      <c r="T88" s="107"/>
      <c r="U88" s="107"/>
      <c r="V88" s="107"/>
      <c r="W88" s="107"/>
      <c r="X88" s="107"/>
      <c r="Y88" s="107"/>
      <c r="Z88" s="106"/>
      <c r="AA88" s="106"/>
      <c r="AB88" s="106"/>
      <c r="AC88" s="107"/>
      <c r="AD88" s="107"/>
      <c r="AE88" s="107"/>
      <c r="AF88" s="107"/>
      <c r="AG88" s="107"/>
      <c r="AH88" s="107"/>
      <c r="AI88" s="107"/>
      <c r="AJ88" s="108">
        <v>0</v>
      </c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6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>
        <v>4085.63346</v>
      </c>
      <c r="BK88" s="107"/>
      <c r="BL88" s="107"/>
      <c r="BM88" s="107"/>
      <c r="BN88" s="107"/>
      <c r="BO88" s="107"/>
      <c r="BP88" s="107"/>
      <c r="BQ88" s="109"/>
      <c r="BR88" s="109"/>
      <c r="BS88" s="109"/>
      <c r="BT88" s="109"/>
      <c r="BU88" s="138"/>
    </row>
    <row r="89" spans="1:73" ht="40.5" outlineLevel="2">
      <c r="A89" s="35" t="s">
        <v>473</v>
      </c>
      <c r="B89" s="37" t="s">
        <v>1244</v>
      </c>
      <c r="C89" s="20" t="s">
        <v>1338</v>
      </c>
      <c r="D89" s="218" t="s">
        <v>1932</v>
      </c>
      <c r="E89" s="203" t="s">
        <v>1927</v>
      </c>
      <c r="F89" s="108">
        <f t="shared" si="6"/>
        <v>1451.45425</v>
      </c>
      <c r="G89" s="106">
        <f t="shared" si="7"/>
        <v>1292.81976</v>
      </c>
      <c r="H89" s="106">
        <f t="shared" si="8"/>
        <v>158.63449</v>
      </c>
      <c r="I89" s="107"/>
      <c r="J89" s="107"/>
      <c r="K89" s="107">
        <v>1292.81976</v>
      </c>
      <c r="L89" s="107">
        <v>158.63449</v>
      </c>
      <c r="M89" s="107"/>
      <c r="N89" s="107"/>
      <c r="O89" s="106"/>
      <c r="P89" s="106"/>
      <c r="Q89" s="106"/>
      <c r="R89" s="106"/>
      <c r="S89" s="106"/>
      <c r="T89" s="107"/>
      <c r="U89" s="107"/>
      <c r="V89" s="107"/>
      <c r="W89" s="107"/>
      <c r="X89" s="107"/>
      <c r="Y89" s="107"/>
      <c r="Z89" s="106"/>
      <c r="AA89" s="106"/>
      <c r="AB89" s="106"/>
      <c r="AC89" s="107"/>
      <c r="AD89" s="107"/>
      <c r="AE89" s="107"/>
      <c r="AF89" s="107"/>
      <c r="AG89" s="107"/>
      <c r="AH89" s="107"/>
      <c r="AI89" s="107"/>
      <c r="AJ89" s="108">
        <v>0</v>
      </c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6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9"/>
      <c r="BR89" s="109"/>
      <c r="BS89" s="109"/>
      <c r="BT89" s="109"/>
      <c r="BU89" s="138"/>
    </row>
    <row r="90" spans="1:73" ht="33.75" customHeight="1" outlineLevel="2">
      <c r="A90" s="35" t="s">
        <v>473</v>
      </c>
      <c r="B90" s="37" t="s">
        <v>1480</v>
      </c>
      <c r="C90" s="20" t="s">
        <v>1338</v>
      </c>
      <c r="D90" s="218" t="s">
        <v>1337</v>
      </c>
      <c r="E90" s="203" t="s">
        <v>1926</v>
      </c>
      <c r="F90" s="108">
        <f t="shared" si="6"/>
        <v>3918.55301</v>
      </c>
      <c r="G90" s="106">
        <f t="shared" si="7"/>
        <v>3732.40256</v>
      </c>
      <c r="H90" s="106">
        <f t="shared" si="8"/>
        <v>186.15045</v>
      </c>
      <c r="I90" s="107"/>
      <c r="J90" s="107"/>
      <c r="K90" s="107"/>
      <c r="L90" s="107"/>
      <c r="M90" s="107"/>
      <c r="N90" s="107"/>
      <c r="O90" s="106"/>
      <c r="P90" s="106"/>
      <c r="Q90" s="106"/>
      <c r="R90" s="106"/>
      <c r="S90" s="106"/>
      <c r="T90" s="107"/>
      <c r="U90" s="107">
        <v>3732.40256</v>
      </c>
      <c r="V90" s="107">
        <v>186.15045</v>
      </c>
      <c r="W90" s="107"/>
      <c r="X90" s="107"/>
      <c r="Y90" s="107"/>
      <c r="Z90" s="106"/>
      <c r="AA90" s="106"/>
      <c r="AB90" s="106"/>
      <c r="AC90" s="107"/>
      <c r="AD90" s="107"/>
      <c r="AE90" s="107"/>
      <c r="AF90" s="107"/>
      <c r="AG90" s="107"/>
      <c r="AH90" s="107"/>
      <c r="AI90" s="107"/>
      <c r="AJ90" s="108">
        <v>0</v>
      </c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6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9"/>
      <c r="BR90" s="109"/>
      <c r="BS90" s="109"/>
      <c r="BT90" s="109"/>
      <c r="BU90" s="138"/>
    </row>
    <row r="91" spans="1:73" ht="48" customHeight="1" outlineLevel="2" thickBot="1">
      <c r="A91" s="35" t="s">
        <v>473</v>
      </c>
      <c r="B91" s="37" t="s">
        <v>666</v>
      </c>
      <c r="C91" s="20" t="s">
        <v>1422</v>
      </c>
      <c r="D91" s="221" t="s">
        <v>2839</v>
      </c>
      <c r="E91" s="203" t="s">
        <v>1928</v>
      </c>
      <c r="F91" s="108">
        <f t="shared" si="6"/>
        <v>351.88079999999997</v>
      </c>
      <c r="G91" s="106">
        <f t="shared" si="7"/>
        <v>0</v>
      </c>
      <c r="H91" s="106">
        <f t="shared" si="8"/>
        <v>351.88079999999997</v>
      </c>
      <c r="I91" s="107"/>
      <c r="J91" s="107"/>
      <c r="K91" s="107"/>
      <c r="L91" s="107"/>
      <c r="M91" s="107"/>
      <c r="N91" s="107"/>
      <c r="O91" s="106"/>
      <c r="P91" s="106"/>
      <c r="Q91" s="106"/>
      <c r="R91" s="106"/>
      <c r="S91" s="106"/>
      <c r="T91" s="107"/>
      <c r="U91" s="107"/>
      <c r="V91" s="107"/>
      <c r="W91" s="107"/>
      <c r="X91" s="107"/>
      <c r="Y91" s="107"/>
      <c r="Z91" s="106"/>
      <c r="AA91" s="106"/>
      <c r="AB91" s="106"/>
      <c r="AC91" s="107"/>
      <c r="AD91" s="107"/>
      <c r="AE91" s="107"/>
      <c r="AF91" s="107"/>
      <c r="AG91" s="107"/>
      <c r="AH91" s="201">
        <f>153.145+105.375+70.25</f>
        <v>328.77</v>
      </c>
      <c r="AI91" s="107"/>
      <c r="AJ91" s="108">
        <v>23.110799999999998</v>
      </c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6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9"/>
      <c r="BR91" s="109"/>
      <c r="BS91" s="109"/>
      <c r="BT91" s="109"/>
      <c r="BU91" s="138"/>
    </row>
    <row r="92" spans="1:73" s="32" customFormat="1" ht="21" outlineLevel="1" thickBot="1">
      <c r="A92" s="40" t="s">
        <v>1347</v>
      </c>
      <c r="B92" s="41"/>
      <c r="C92" s="30" t="s">
        <v>1572</v>
      </c>
      <c r="D92" s="222"/>
      <c r="E92" s="223"/>
      <c r="F92" s="117">
        <f aca="true" t="shared" si="9" ref="F92:AL92">SUBTOTAL(9,F69:F91)</f>
        <v>44055.60017</v>
      </c>
      <c r="G92" s="117">
        <f t="shared" si="9"/>
        <v>21999.869569999995</v>
      </c>
      <c r="H92" s="117">
        <f t="shared" si="9"/>
        <v>22055.7306</v>
      </c>
      <c r="I92" s="117">
        <f t="shared" si="9"/>
        <v>79.02651</v>
      </c>
      <c r="J92" s="117">
        <f t="shared" si="9"/>
        <v>20.75571</v>
      </c>
      <c r="K92" s="117">
        <f t="shared" si="9"/>
        <v>4287.86918</v>
      </c>
      <c r="L92" s="117">
        <f t="shared" si="9"/>
        <v>826.13128</v>
      </c>
      <c r="M92" s="117">
        <f t="shared" si="9"/>
        <v>243.70288</v>
      </c>
      <c r="N92" s="117">
        <f t="shared" si="9"/>
        <v>0</v>
      </c>
      <c r="O92" s="117">
        <f t="shared" si="9"/>
        <v>4518.64356</v>
      </c>
      <c r="P92" s="117">
        <f t="shared" si="9"/>
        <v>262.64957</v>
      </c>
      <c r="Q92" s="117">
        <f t="shared" si="9"/>
        <v>0</v>
      </c>
      <c r="R92" s="117">
        <f t="shared" si="9"/>
        <v>0</v>
      </c>
      <c r="S92" s="117">
        <f t="shared" si="9"/>
        <v>18.10088</v>
      </c>
      <c r="T92" s="117">
        <f t="shared" si="9"/>
        <v>9.05044</v>
      </c>
      <c r="U92" s="117">
        <f t="shared" si="9"/>
        <v>3732.40256</v>
      </c>
      <c r="V92" s="117">
        <f t="shared" si="9"/>
        <v>186.15045</v>
      </c>
      <c r="W92" s="117">
        <f t="shared" si="9"/>
        <v>1230.86314</v>
      </c>
      <c r="X92" s="117">
        <f t="shared" si="9"/>
        <v>642.59675</v>
      </c>
      <c r="Y92" s="117">
        <f t="shared" si="9"/>
        <v>228</v>
      </c>
      <c r="Z92" s="117">
        <f t="shared" si="9"/>
        <v>139.755</v>
      </c>
      <c r="AA92" s="117">
        <f t="shared" si="9"/>
        <v>3002.3334500000005</v>
      </c>
      <c r="AB92" s="117">
        <f t="shared" si="9"/>
        <v>1251.0296299999998</v>
      </c>
      <c r="AC92" s="117">
        <f t="shared" si="9"/>
        <v>0</v>
      </c>
      <c r="AD92" s="117">
        <f t="shared" si="9"/>
        <v>0</v>
      </c>
      <c r="AE92" s="117">
        <f t="shared" si="9"/>
        <v>0</v>
      </c>
      <c r="AF92" s="117">
        <f t="shared" si="9"/>
        <v>0</v>
      </c>
      <c r="AG92" s="117">
        <f t="shared" si="9"/>
        <v>5.0826</v>
      </c>
      <c r="AH92" s="117">
        <f t="shared" si="9"/>
        <v>328.77</v>
      </c>
      <c r="AI92" s="117">
        <f t="shared" si="9"/>
        <v>0</v>
      </c>
      <c r="AJ92" s="117">
        <f>SUBTOTAL(9,AJ69:AJ91)</f>
        <v>518.32556</v>
      </c>
      <c r="AK92" s="117">
        <f t="shared" si="9"/>
        <v>0</v>
      </c>
      <c r="AL92" s="117">
        <f t="shared" si="9"/>
        <v>0</v>
      </c>
      <c r="AM92" s="117">
        <f aca="true" t="shared" si="10" ref="AM92:BJ92">SUBTOTAL(9,AM69:AM91)</f>
        <v>0</v>
      </c>
      <c r="AN92" s="117">
        <f t="shared" si="10"/>
        <v>31.05</v>
      </c>
      <c r="AO92" s="117">
        <f t="shared" si="10"/>
        <v>0</v>
      </c>
      <c r="AP92" s="117">
        <f t="shared" si="10"/>
        <v>0</v>
      </c>
      <c r="AQ92" s="117">
        <f t="shared" si="10"/>
        <v>25.875</v>
      </c>
      <c r="AR92" s="117">
        <f t="shared" si="10"/>
        <v>0</v>
      </c>
      <c r="AS92" s="117">
        <f t="shared" si="10"/>
        <v>0</v>
      </c>
      <c r="AT92" s="117">
        <f t="shared" si="10"/>
        <v>0</v>
      </c>
      <c r="AU92" s="117">
        <f t="shared" si="10"/>
        <v>44.16</v>
      </c>
      <c r="AV92" s="117">
        <f t="shared" si="10"/>
        <v>0</v>
      </c>
      <c r="AW92" s="117">
        <f t="shared" si="10"/>
        <v>0</v>
      </c>
      <c r="AX92" s="117">
        <f t="shared" si="10"/>
        <v>1243.52149</v>
      </c>
      <c r="AY92" s="117">
        <f t="shared" si="10"/>
        <v>422.47098</v>
      </c>
      <c r="AZ92" s="117">
        <f t="shared" si="10"/>
        <v>598.7520000000001</v>
      </c>
      <c r="BA92" s="117">
        <f t="shared" si="10"/>
        <v>932.29686</v>
      </c>
      <c r="BB92" s="117">
        <f t="shared" si="10"/>
        <v>0</v>
      </c>
      <c r="BC92" s="117">
        <f t="shared" si="10"/>
        <v>3561.314140000001</v>
      </c>
      <c r="BD92" s="117">
        <f t="shared" si="10"/>
        <v>3492.37073</v>
      </c>
      <c r="BE92" s="117">
        <f t="shared" si="10"/>
        <v>0</v>
      </c>
      <c r="BF92" s="117">
        <f t="shared" si="10"/>
        <v>0</v>
      </c>
      <c r="BG92" s="117">
        <f t="shared" si="10"/>
        <v>97.79466</v>
      </c>
      <c r="BH92" s="117">
        <f t="shared" si="10"/>
        <v>144.27134</v>
      </c>
      <c r="BI92" s="117">
        <f t="shared" si="10"/>
        <v>0</v>
      </c>
      <c r="BJ92" s="117">
        <f t="shared" si="10"/>
        <v>9996.76582</v>
      </c>
      <c r="BK92" s="117"/>
      <c r="BL92" s="117">
        <f aca="true" t="shared" si="11" ref="BL92:BU92">SUBTOTAL(9,BL69:BL91)</f>
        <v>0</v>
      </c>
      <c r="BM92" s="117">
        <f t="shared" si="11"/>
        <v>467.922</v>
      </c>
      <c r="BN92" s="117">
        <f t="shared" si="11"/>
        <v>52.796</v>
      </c>
      <c r="BO92" s="117">
        <f t="shared" si="11"/>
        <v>0</v>
      </c>
      <c r="BP92" s="117">
        <f t="shared" si="11"/>
        <v>0</v>
      </c>
      <c r="BQ92" s="117">
        <f t="shared" si="11"/>
        <v>0</v>
      </c>
      <c r="BR92" s="117">
        <f t="shared" si="11"/>
        <v>0</v>
      </c>
      <c r="BS92" s="117">
        <f t="shared" si="11"/>
        <v>1413</v>
      </c>
      <c r="BT92" s="117">
        <f t="shared" si="11"/>
        <v>0</v>
      </c>
      <c r="BU92" s="117">
        <f t="shared" si="11"/>
        <v>0</v>
      </c>
    </row>
    <row r="93" spans="1:73" ht="41.25" customHeight="1" outlineLevel="2">
      <c r="A93" s="24" t="s">
        <v>1348</v>
      </c>
      <c r="B93" s="19" t="s">
        <v>858</v>
      </c>
      <c r="C93" s="20" t="s">
        <v>1496</v>
      </c>
      <c r="D93" s="218" t="s">
        <v>859</v>
      </c>
      <c r="E93" s="203" t="s">
        <v>1962</v>
      </c>
      <c r="F93" s="108">
        <f t="shared" si="6"/>
        <v>1539.70344</v>
      </c>
      <c r="G93" s="106">
        <f>I93+K93+O93+S93+U93+W93+Y93+AA93+AC93+AE93+AR93+AX93+BC93+BG93+BP93+BR93+BT93+AO93</f>
        <v>743.90136</v>
      </c>
      <c r="H93" s="106">
        <f>J93+L93+M93+N93+P93+Q93+R93+T93+V93+X93+Z93+AB93+AD93+AF93+AG93+AJ93+AL93+AS93+AT93+AU93+AV93+AW93+AY93+AZ93+BA93+BB93+BD93+BE93+BF93+BH93+BI93+BJ93+BL93+BM93+BN93+BO93+BQ93+BS93+BU93+AH93+AI93+AK93+AM93+AN93+AP93+AQ93+BK93</f>
        <v>795.80208</v>
      </c>
      <c r="I93" s="107"/>
      <c r="J93" s="107"/>
      <c r="K93" s="107"/>
      <c r="L93" s="107"/>
      <c r="M93" s="107"/>
      <c r="N93" s="107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7">
        <v>21.28</v>
      </c>
      <c r="Z93" s="106">
        <v>55.902</v>
      </c>
      <c r="AA93" s="159">
        <v>349.84046</v>
      </c>
      <c r="AB93" s="106">
        <v>168.36213</v>
      </c>
      <c r="AC93" s="107"/>
      <c r="AD93" s="107"/>
      <c r="AE93" s="107"/>
      <c r="AF93" s="107"/>
      <c r="AG93" s="107"/>
      <c r="AH93" s="107"/>
      <c r="AI93" s="107"/>
      <c r="AJ93" s="108">
        <v>148.34376</v>
      </c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6"/>
      <c r="AZ93" s="107"/>
      <c r="BA93" s="107"/>
      <c r="BB93" s="107"/>
      <c r="BC93" s="107">
        <v>372.7809</v>
      </c>
      <c r="BD93" s="107">
        <v>365.56742</v>
      </c>
      <c r="BE93" s="107"/>
      <c r="BF93" s="107"/>
      <c r="BG93" s="107"/>
      <c r="BH93" s="107"/>
      <c r="BI93" s="107"/>
      <c r="BJ93" s="107">
        <v>57.62677</v>
      </c>
      <c r="BK93" s="107"/>
      <c r="BL93" s="107"/>
      <c r="BM93" s="107"/>
      <c r="BN93" s="107"/>
      <c r="BO93" s="107"/>
      <c r="BP93" s="107"/>
      <c r="BQ93" s="109"/>
      <c r="BR93" s="109"/>
      <c r="BS93" s="109"/>
      <c r="BT93" s="109"/>
      <c r="BU93" s="138"/>
    </row>
    <row r="94" spans="1:73" ht="32.25" customHeight="1" outlineLevel="2">
      <c r="A94" s="35" t="s">
        <v>1348</v>
      </c>
      <c r="B94" s="37" t="s">
        <v>860</v>
      </c>
      <c r="C94" s="20" t="s">
        <v>1496</v>
      </c>
      <c r="D94" s="218" t="s">
        <v>861</v>
      </c>
      <c r="E94" s="220" t="s">
        <v>1942</v>
      </c>
      <c r="F94" s="108">
        <f t="shared" si="6"/>
        <v>19229.07085</v>
      </c>
      <c r="G94" s="106">
        <f aca="true" t="shared" si="12" ref="G94:G130">I94+K94+O94+S94+U94+W94+Y94+AA94+AC94+AE94+AR94+AX94+BC94+BG94+BP94+BR94+BT94+AO94</f>
        <v>10421.73175</v>
      </c>
      <c r="H94" s="106">
        <f aca="true" t="shared" si="13" ref="H94:H130">J94+L94+M94+N94+P94+Q94+R94+T94+V94+X94+Z94+AB94+AD94+AF94+AG94+AJ94+AL94+AS94+AT94+AU94+AV94+AW94+AY94+AZ94+BA94+BB94+BD94+BE94+BF94+BH94+BI94+BJ94+BL94+BM94+BN94+BO94+BQ94+BS94+BU94+AH94+AI94+AK94+AM94+AN94+AP94+AQ94+BK94</f>
        <v>8807.3391</v>
      </c>
      <c r="I94" s="107"/>
      <c r="J94" s="107"/>
      <c r="K94" s="107">
        <v>1785.91347</v>
      </c>
      <c r="L94" s="107">
        <v>384.97602</v>
      </c>
      <c r="M94" s="107"/>
      <c r="N94" s="107"/>
      <c r="O94" s="106"/>
      <c r="P94" s="106"/>
      <c r="Q94" s="106"/>
      <c r="R94" s="106"/>
      <c r="S94" s="106"/>
      <c r="T94" s="106"/>
      <c r="U94" s="106"/>
      <c r="V94" s="106"/>
      <c r="W94" s="106">
        <v>836.95722</v>
      </c>
      <c r="X94" s="106">
        <v>436.95027</v>
      </c>
      <c r="Y94" s="107">
        <v>60.8</v>
      </c>
      <c r="Z94" s="106">
        <v>159.72</v>
      </c>
      <c r="AA94" s="159">
        <v>769.23511</v>
      </c>
      <c r="AB94" s="106">
        <v>438.73189</v>
      </c>
      <c r="AC94" s="107">
        <v>873.88789</v>
      </c>
      <c r="AD94" s="107">
        <v>456.23067</v>
      </c>
      <c r="AE94" s="107"/>
      <c r="AF94" s="107"/>
      <c r="AG94" s="107"/>
      <c r="AH94" s="107"/>
      <c r="AI94" s="107"/>
      <c r="AJ94" s="108">
        <v>483.54927999999995</v>
      </c>
      <c r="AK94" s="107">
        <v>20.5362</v>
      </c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>
        <v>3862.67021</v>
      </c>
      <c r="AY94" s="106">
        <v>1389.81226</v>
      </c>
      <c r="AZ94" s="107"/>
      <c r="BA94" s="107"/>
      <c r="BB94" s="107"/>
      <c r="BC94" s="107">
        <v>2232.26785</v>
      </c>
      <c r="BD94" s="107">
        <v>2189.15416</v>
      </c>
      <c r="BE94" s="107"/>
      <c r="BF94" s="107"/>
      <c r="BG94" s="107"/>
      <c r="BH94" s="107"/>
      <c r="BI94" s="107"/>
      <c r="BJ94" s="107">
        <v>2847.67835</v>
      </c>
      <c r="BK94" s="107"/>
      <c r="BL94" s="107"/>
      <c r="BM94" s="107"/>
      <c r="BN94" s="107"/>
      <c r="BO94" s="107"/>
      <c r="BP94" s="107"/>
      <c r="BQ94" s="109"/>
      <c r="BR94" s="109"/>
      <c r="BS94" s="109"/>
      <c r="BT94" s="109"/>
      <c r="BU94" s="138"/>
    </row>
    <row r="95" spans="1:73" ht="67.5" customHeight="1" outlineLevel="2">
      <c r="A95" s="24" t="s">
        <v>1348</v>
      </c>
      <c r="B95" s="19" t="s">
        <v>399</v>
      </c>
      <c r="C95" s="20" t="s">
        <v>1496</v>
      </c>
      <c r="D95" s="218" t="s">
        <v>400</v>
      </c>
      <c r="E95" s="203" t="s">
        <v>1950</v>
      </c>
      <c r="F95" s="108">
        <f t="shared" si="6"/>
        <v>11915.0112</v>
      </c>
      <c r="G95" s="106">
        <f t="shared" si="12"/>
        <v>4095.2131</v>
      </c>
      <c r="H95" s="106">
        <f t="shared" si="13"/>
        <v>7819.798100000001</v>
      </c>
      <c r="I95" s="107"/>
      <c r="J95" s="107"/>
      <c r="K95" s="107">
        <v>851.65119</v>
      </c>
      <c r="L95" s="107">
        <v>309.69133</v>
      </c>
      <c r="M95" s="107"/>
      <c r="N95" s="107"/>
      <c r="O95" s="106"/>
      <c r="P95" s="106"/>
      <c r="Q95" s="106"/>
      <c r="R95" s="106"/>
      <c r="S95" s="106"/>
      <c r="T95" s="106"/>
      <c r="U95" s="106"/>
      <c r="V95" s="106"/>
      <c r="W95" s="106">
        <v>439.17747</v>
      </c>
      <c r="X95" s="106">
        <v>229.28138</v>
      </c>
      <c r="Y95" s="107">
        <v>39.52</v>
      </c>
      <c r="Z95" s="106">
        <v>103.818</v>
      </c>
      <c r="AA95" s="159">
        <v>225.44508</v>
      </c>
      <c r="AB95" s="106">
        <v>150.1394</v>
      </c>
      <c r="AC95" s="107"/>
      <c r="AD95" s="107"/>
      <c r="AE95" s="107"/>
      <c r="AF95" s="107"/>
      <c r="AG95" s="107"/>
      <c r="AH95" s="107"/>
      <c r="AI95" s="107"/>
      <c r="AJ95" s="108">
        <v>271.61252</v>
      </c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>
        <v>1616.7669</v>
      </c>
      <c r="AY95" s="106">
        <v>431.54584</v>
      </c>
      <c r="AZ95" s="107"/>
      <c r="BA95" s="107">
        <v>1715.02835</v>
      </c>
      <c r="BB95" s="107"/>
      <c r="BC95" s="107">
        <v>922.65246</v>
      </c>
      <c r="BD95" s="107">
        <v>904.80531</v>
      </c>
      <c r="BE95" s="107">
        <v>65.85</v>
      </c>
      <c r="BF95" s="107"/>
      <c r="BG95" s="107"/>
      <c r="BH95" s="107"/>
      <c r="BI95" s="107"/>
      <c r="BJ95" s="107">
        <v>3316.59154</v>
      </c>
      <c r="BK95" s="107"/>
      <c r="BL95" s="107"/>
      <c r="BM95" s="107">
        <v>321.43443</v>
      </c>
      <c r="BN95" s="107"/>
      <c r="BO95" s="107"/>
      <c r="BP95" s="107"/>
      <c r="BQ95" s="109"/>
      <c r="BR95" s="109"/>
      <c r="BS95" s="109"/>
      <c r="BT95" s="109"/>
      <c r="BU95" s="138"/>
    </row>
    <row r="96" spans="1:73" ht="38.25" customHeight="1" outlineLevel="2">
      <c r="A96" s="35" t="s">
        <v>1348</v>
      </c>
      <c r="B96" s="37" t="s">
        <v>401</v>
      </c>
      <c r="C96" s="20" t="s">
        <v>1496</v>
      </c>
      <c r="D96" s="218" t="s">
        <v>402</v>
      </c>
      <c r="E96" s="220" t="s">
        <v>1941</v>
      </c>
      <c r="F96" s="108">
        <f t="shared" si="6"/>
        <v>18235.54359</v>
      </c>
      <c r="G96" s="106">
        <f t="shared" si="12"/>
        <v>9978.240290000002</v>
      </c>
      <c r="H96" s="106">
        <f t="shared" si="13"/>
        <v>8257.3033</v>
      </c>
      <c r="I96" s="107"/>
      <c r="J96" s="107"/>
      <c r="K96" s="107">
        <v>3564.02811</v>
      </c>
      <c r="L96" s="107">
        <v>583.85165</v>
      </c>
      <c r="M96" s="107">
        <v>103.58471</v>
      </c>
      <c r="N96" s="107"/>
      <c r="O96" s="106"/>
      <c r="P96" s="106"/>
      <c r="Q96" s="106"/>
      <c r="R96" s="106"/>
      <c r="S96" s="106">
        <v>200.72815</v>
      </c>
      <c r="T96" s="106">
        <v>66.90936</v>
      </c>
      <c r="U96" s="106"/>
      <c r="V96" s="106"/>
      <c r="W96" s="106">
        <v>1576.29557</v>
      </c>
      <c r="X96" s="106">
        <v>822.93665</v>
      </c>
      <c r="Y96" s="107"/>
      <c r="Z96" s="106"/>
      <c r="AA96" s="159">
        <v>1076.71047</v>
      </c>
      <c r="AB96" s="106">
        <v>431.60126</v>
      </c>
      <c r="AC96" s="107"/>
      <c r="AD96" s="107"/>
      <c r="AE96" s="107"/>
      <c r="AF96" s="107"/>
      <c r="AG96" s="107"/>
      <c r="AH96" s="107"/>
      <c r="AI96" s="107"/>
      <c r="AJ96" s="108">
        <v>578.48324</v>
      </c>
      <c r="AK96" s="107"/>
      <c r="AL96" s="107"/>
      <c r="AM96" s="107"/>
      <c r="AN96" s="107">
        <v>160.8299</v>
      </c>
      <c r="AO96" s="107"/>
      <c r="AP96" s="107"/>
      <c r="AQ96" s="107"/>
      <c r="AR96" s="107"/>
      <c r="AS96" s="107"/>
      <c r="AT96" s="107"/>
      <c r="AU96" s="107"/>
      <c r="AV96" s="107"/>
      <c r="AW96" s="107"/>
      <c r="AX96" s="107">
        <v>1116.65969</v>
      </c>
      <c r="AY96" s="106">
        <v>922.1698</v>
      </c>
      <c r="AZ96" s="107"/>
      <c r="BA96" s="107"/>
      <c r="BB96" s="107"/>
      <c r="BC96" s="107">
        <v>2443.8183</v>
      </c>
      <c r="BD96" s="107">
        <v>2396.59697</v>
      </c>
      <c r="BE96" s="107">
        <v>175.74637</v>
      </c>
      <c r="BF96" s="107"/>
      <c r="BG96" s="107"/>
      <c r="BH96" s="107"/>
      <c r="BI96" s="107"/>
      <c r="BJ96" s="107">
        <v>1910.50022</v>
      </c>
      <c r="BK96" s="107"/>
      <c r="BL96" s="107"/>
      <c r="BM96" s="107">
        <v>104.09317</v>
      </c>
      <c r="BN96" s="107"/>
      <c r="BO96" s="107"/>
      <c r="BP96" s="107"/>
      <c r="BQ96" s="109"/>
      <c r="BR96" s="109"/>
      <c r="BS96" s="109"/>
      <c r="BT96" s="109"/>
      <c r="BU96" s="138"/>
    </row>
    <row r="97" spans="1:73" ht="33.75" customHeight="1" outlineLevel="2">
      <c r="A97" s="35" t="s">
        <v>1348</v>
      </c>
      <c r="B97" s="37" t="s">
        <v>308</v>
      </c>
      <c r="C97" s="20" t="s">
        <v>1496</v>
      </c>
      <c r="D97" s="218" t="s">
        <v>501</v>
      </c>
      <c r="E97" s="203" t="s">
        <v>1964</v>
      </c>
      <c r="F97" s="108">
        <f t="shared" si="6"/>
        <v>1206.8186799999999</v>
      </c>
      <c r="G97" s="106">
        <f t="shared" si="12"/>
        <v>631.8787299999999</v>
      </c>
      <c r="H97" s="106">
        <f t="shared" si="13"/>
        <v>574.93995</v>
      </c>
      <c r="I97" s="107"/>
      <c r="J97" s="107"/>
      <c r="K97" s="107"/>
      <c r="L97" s="107"/>
      <c r="M97" s="107"/>
      <c r="N97" s="107"/>
      <c r="O97" s="106"/>
      <c r="P97" s="106"/>
      <c r="Q97" s="106"/>
      <c r="R97" s="106"/>
      <c r="S97" s="106"/>
      <c r="T97" s="106"/>
      <c r="U97" s="106"/>
      <c r="V97" s="106"/>
      <c r="W97" s="106">
        <v>231.8933</v>
      </c>
      <c r="X97" s="106">
        <v>121.06455</v>
      </c>
      <c r="Y97" s="107">
        <v>15.2</v>
      </c>
      <c r="Z97" s="106">
        <v>39.93</v>
      </c>
      <c r="AA97" s="106">
        <v>173.38267</v>
      </c>
      <c r="AB97" s="106">
        <v>118.84385</v>
      </c>
      <c r="AC97" s="107"/>
      <c r="AD97" s="107"/>
      <c r="AE97" s="107"/>
      <c r="AF97" s="107"/>
      <c r="AG97" s="107"/>
      <c r="AH97" s="107"/>
      <c r="AI97" s="107"/>
      <c r="AJ97" s="108">
        <v>87.79187999999999</v>
      </c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6"/>
      <c r="AZ97" s="107"/>
      <c r="BA97" s="107"/>
      <c r="BB97" s="107"/>
      <c r="BC97" s="107">
        <v>211.40276</v>
      </c>
      <c r="BD97" s="107">
        <v>207.30967</v>
      </c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9"/>
      <c r="BR97" s="109"/>
      <c r="BS97" s="109"/>
      <c r="BT97" s="109"/>
      <c r="BU97" s="138"/>
    </row>
    <row r="98" spans="1:73" ht="34.5" customHeight="1" outlineLevel="2">
      <c r="A98" s="24" t="s">
        <v>1348</v>
      </c>
      <c r="B98" s="19" t="s">
        <v>526</v>
      </c>
      <c r="C98" s="20" t="s">
        <v>1496</v>
      </c>
      <c r="D98" s="218" t="s">
        <v>45</v>
      </c>
      <c r="E98" s="203" t="s">
        <v>1954</v>
      </c>
      <c r="F98" s="108">
        <f t="shared" si="6"/>
        <v>9990.732909999999</v>
      </c>
      <c r="G98" s="106">
        <f t="shared" si="12"/>
        <v>5699.27529</v>
      </c>
      <c r="H98" s="106">
        <f t="shared" si="13"/>
        <v>4291.45762</v>
      </c>
      <c r="I98" s="107"/>
      <c r="J98" s="107"/>
      <c r="K98" s="107">
        <v>2755.50121</v>
      </c>
      <c r="L98" s="107">
        <v>676.93758</v>
      </c>
      <c r="M98" s="107">
        <v>100.3515</v>
      </c>
      <c r="N98" s="107"/>
      <c r="O98" s="106"/>
      <c r="P98" s="106"/>
      <c r="Q98" s="106"/>
      <c r="R98" s="106"/>
      <c r="S98" s="106"/>
      <c r="T98" s="106"/>
      <c r="U98" s="106"/>
      <c r="V98" s="106"/>
      <c r="W98" s="106">
        <v>935.39711</v>
      </c>
      <c r="X98" s="106">
        <v>488.34278</v>
      </c>
      <c r="Y98" s="107">
        <v>48.64</v>
      </c>
      <c r="Z98" s="106">
        <v>127.776</v>
      </c>
      <c r="AA98" s="159">
        <v>276.40591</v>
      </c>
      <c r="AB98" s="106">
        <v>154.29894</v>
      </c>
      <c r="AC98" s="107"/>
      <c r="AD98" s="107"/>
      <c r="AE98" s="107"/>
      <c r="AF98" s="107"/>
      <c r="AG98" s="107"/>
      <c r="AH98" s="107"/>
      <c r="AI98" s="107"/>
      <c r="AJ98" s="108">
        <v>288.27067999999997</v>
      </c>
      <c r="AK98" s="107">
        <v>3.0597</v>
      </c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>
        <v>406.7176</v>
      </c>
      <c r="AY98" s="106">
        <v>901.36809</v>
      </c>
      <c r="AZ98" s="107"/>
      <c r="BA98" s="107"/>
      <c r="BB98" s="107"/>
      <c r="BC98" s="107">
        <v>1276.61346</v>
      </c>
      <c r="BD98" s="107">
        <v>1251.93441</v>
      </c>
      <c r="BE98" s="107"/>
      <c r="BF98" s="107"/>
      <c r="BG98" s="107"/>
      <c r="BH98" s="107"/>
      <c r="BI98" s="107"/>
      <c r="BJ98" s="107">
        <v>299.11794</v>
      </c>
      <c r="BK98" s="107"/>
      <c r="BL98" s="107"/>
      <c r="BM98" s="107"/>
      <c r="BN98" s="107"/>
      <c r="BO98" s="107"/>
      <c r="BP98" s="107"/>
      <c r="BQ98" s="109"/>
      <c r="BR98" s="109"/>
      <c r="BS98" s="109"/>
      <c r="BT98" s="109"/>
      <c r="BU98" s="138"/>
    </row>
    <row r="99" spans="1:73" ht="31.5" customHeight="1" outlineLevel="2">
      <c r="A99" s="35" t="s">
        <v>1348</v>
      </c>
      <c r="B99" s="37" t="s">
        <v>142</v>
      </c>
      <c r="C99" s="20" t="s">
        <v>1496</v>
      </c>
      <c r="D99" s="218" t="s">
        <v>1096</v>
      </c>
      <c r="E99" s="203" t="s">
        <v>2781</v>
      </c>
      <c r="F99" s="108">
        <f t="shared" si="6"/>
        <v>197.3563</v>
      </c>
      <c r="G99" s="106">
        <f t="shared" si="12"/>
        <v>109.84285</v>
      </c>
      <c r="H99" s="106">
        <f t="shared" si="13"/>
        <v>87.51345</v>
      </c>
      <c r="I99" s="107"/>
      <c r="J99" s="107"/>
      <c r="K99" s="107"/>
      <c r="L99" s="107"/>
      <c r="M99" s="107"/>
      <c r="N99" s="107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7"/>
      <c r="Z99" s="106"/>
      <c r="AA99" s="159">
        <v>40.8005</v>
      </c>
      <c r="AB99" s="106">
        <v>19.80731</v>
      </c>
      <c r="AC99" s="107"/>
      <c r="AD99" s="107"/>
      <c r="AE99" s="107"/>
      <c r="AF99" s="107"/>
      <c r="AG99" s="107"/>
      <c r="AH99" s="107"/>
      <c r="AI99" s="107"/>
      <c r="AJ99" s="108">
        <v>0</v>
      </c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6"/>
      <c r="AZ99" s="107"/>
      <c r="BA99" s="107"/>
      <c r="BB99" s="107"/>
      <c r="BC99" s="107">
        <v>69.04235</v>
      </c>
      <c r="BD99" s="107">
        <v>67.70614</v>
      </c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9"/>
      <c r="BR99" s="109"/>
      <c r="BS99" s="109"/>
      <c r="BT99" s="109"/>
      <c r="BU99" s="138"/>
    </row>
    <row r="100" spans="1:73" ht="36" customHeight="1" outlineLevel="2">
      <c r="A100" s="24" t="s">
        <v>1348</v>
      </c>
      <c r="B100" s="19" t="s">
        <v>622</v>
      </c>
      <c r="C100" s="20" t="s">
        <v>1496</v>
      </c>
      <c r="D100" s="218" t="s">
        <v>1285</v>
      </c>
      <c r="E100" s="203" t="s">
        <v>1965</v>
      </c>
      <c r="F100" s="108">
        <f t="shared" si="6"/>
        <v>13000.421330000001</v>
      </c>
      <c r="G100" s="106">
        <f t="shared" si="12"/>
        <v>4203.939840000001</v>
      </c>
      <c r="H100" s="106">
        <f t="shared" si="13"/>
        <v>8796.48149</v>
      </c>
      <c r="I100" s="107"/>
      <c r="J100" s="107"/>
      <c r="K100" s="107"/>
      <c r="L100" s="107"/>
      <c r="M100" s="107"/>
      <c r="N100" s="107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7"/>
      <c r="Z100" s="106"/>
      <c r="AA100" s="159">
        <v>853.44204</v>
      </c>
      <c r="AB100" s="106">
        <v>653.6412</v>
      </c>
      <c r="AC100" s="107"/>
      <c r="AD100" s="107"/>
      <c r="AE100" s="107"/>
      <c r="AF100" s="107"/>
      <c r="AG100" s="107"/>
      <c r="AH100" s="107"/>
      <c r="AI100" s="107"/>
      <c r="AJ100" s="108">
        <v>438.91852</v>
      </c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>
        <v>1291.30156</v>
      </c>
      <c r="AY100" s="106">
        <v>876.31557</v>
      </c>
      <c r="AZ100" s="107"/>
      <c r="BA100" s="107">
        <v>2310.1967</v>
      </c>
      <c r="BB100" s="107"/>
      <c r="BC100" s="107">
        <v>2059.19624</v>
      </c>
      <c r="BD100" s="107">
        <v>2019.33366</v>
      </c>
      <c r="BE100" s="107"/>
      <c r="BF100" s="107"/>
      <c r="BG100" s="107"/>
      <c r="BH100" s="107"/>
      <c r="BI100" s="107"/>
      <c r="BJ100" s="107">
        <v>2498.07584</v>
      </c>
      <c r="BK100" s="107"/>
      <c r="BL100" s="107"/>
      <c r="BM100" s="107"/>
      <c r="BN100" s="107"/>
      <c r="BO100" s="107"/>
      <c r="BP100" s="107"/>
      <c r="BQ100" s="109"/>
      <c r="BR100" s="109"/>
      <c r="BS100" s="109"/>
      <c r="BT100" s="109"/>
      <c r="BU100" s="138"/>
    </row>
    <row r="101" spans="1:73" ht="31.5" customHeight="1" outlineLevel="2">
      <c r="A101" s="24" t="s">
        <v>1348</v>
      </c>
      <c r="B101" s="19" t="s">
        <v>1481</v>
      </c>
      <c r="C101" s="20" t="s">
        <v>1496</v>
      </c>
      <c r="D101" s="218" t="s">
        <v>425</v>
      </c>
      <c r="E101" s="224" t="s">
        <v>1957</v>
      </c>
      <c r="F101" s="108">
        <f t="shared" si="6"/>
        <v>8368.4568</v>
      </c>
      <c r="G101" s="106">
        <f t="shared" si="12"/>
        <v>3588.98222</v>
      </c>
      <c r="H101" s="106">
        <f t="shared" si="13"/>
        <v>4779.47458</v>
      </c>
      <c r="I101" s="107"/>
      <c r="J101" s="107"/>
      <c r="K101" s="107">
        <v>1913.25993</v>
      </c>
      <c r="L101" s="107">
        <v>465.61121</v>
      </c>
      <c r="M101" s="107"/>
      <c r="N101" s="107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7"/>
      <c r="Z101" s="106"/>
      <c r="AA101" s="159">
        <v>329.75534</v>
      </c>
      <c r="AB101" s="106">
        <v>249.57209</v>
      </c>
      <c r="AC101" s="107"/>
      <c r="AD101" s="107"/>
      <c r="AE101" s="107"/>
      <c r="AF101" s="107"/>
      <c r="AG101" s="107"/>
      <c r="AH101" s="107"/>
      <c r="AI101" s="107"/>
      <c r="AJ101" s="108">
        <v>545.715</v>
      </c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6"/>
      <c r="AZ101" s="107"/>
      <c r="BA101" s="107"/>
      <c r="BB101" s="107"/>
      <c r="BC101" s="107">
        <v>1345.96695</v>
      </c>
      <c r="BD101" s="107">
        <v>1319.95842</v>
      </c>
      <c r="BE101" s="107"/>
      <c r="BF101" s="107"/>
      <c r="BG101" s="107"/>
      <c r="BH101" s="107"/>
      <c r="BI101" s="107"/>
      <c r="BJ101" s="107">
        <v>2198.61786</v>
      </c>
      <c r="BK101" s="107"/>
      <c r="BL101" s="107"/>
      <c r="BM101" s="107"/>
      <c r="BN101" s="107"/>
      <c r="BO101" s="107"/>
      <c r="BP101" s="107"/>
      <c r="BQ101" s="109"/>
      <c r="BR101" s="109"/>
      <c r="BS101" s="109"/>
      <c r="BT101" s="109"/>
      <c r="BU101" s="138"/>
    </row>
    <row r="102" spans="1:73" ht="24" customHeight="1" outlineLevel="2">
      <c r="A102" s="24" t="s">
        <v>1348</v>
      </c>
      <c r="B102" s="19" t="s">
        <v>773</v>
      </c>
      <c r="C102" s="20" t="s">
        <v>1496</v>
      </c>
      <c r="D102" s="218" t="s">
        <v>774</v>
      </c>
      <c r="E102" s="203" t="s">
        <v>1959</v>
      </c>
      <c r="F102" s="108">
        <f t="shared" si="6"/>
        <v>636.12051</v>
      </c>
      <c r="G102" s="106">
        <f t="shared" si="12"/>
        <v>345.41853</v>
      </c>
      <c r="H102" s="106">
        <f t="shared" si="13"/>
        <v>290.70198</v>
      </c>
      <c r="I102" s="107"/>
      <c r="J102" s="107"/>
      <c r="K102" s="107">
        <v>107.91277</v>
      </c>
      <c r="L102" s="107">
        <v>13.40448</v>
      </c>
      <c r="M102" s="107"/>
      <c r="N102" s="107"/>
      <c r="O102" s="106"/>
      <c r="P102" s="106"/>
      <c r="Q102" s="106"/>
      <c r="R102" s="106"/>
      <c r="S102" s="106"/>
      <c r="T102" s="106"/>
      <c r="U102" s="106"/>
      <c r="V102" s="106"/>
      <c r="W102" s="106">
        <v>69.56184</v>
      </c>
      <c r="X102" s="106">
        <v>36.31615</v>
      </c>
      <c r="Y102" s="107"/>
      <c r="Z102" s="106"/>
      <c r="AA102" s="159">
        <v>85.01427</v>
      </c>
      <c r="AB102" s="106">
        <v>59.42193</v>
      </c>
      <c r="AC102" s="107"/>
      <c r="AD102" s="107"/>
      <c r="AE102" s="107"/>
      <c r="AF102" s="107"/>
      <c r="AG102" s="107"/>
      <c r="AH102" s="107"/>
      <c r="AI102" s="107"/>
      <c r="AJ102" s="108">
        <v>29.02572</v>
      </c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6"/>
      <c r="AZ102" s="107"/>
      <c r="BA102" s="107"/>
      <c r="BB102" s="107"/>
      <c r="BC102" s="107">
        <v>82.92965</v>
      </c>
      <c r="BD102" s="107">
        <v>81.32717</v>
      </c>
      <c r="BE102" s="107"/>
      <c r="BF102" s="107"/>
      <c r="BG102" s="107"/>
      <c r="BH102" s="107"/>
      <c r="BI102" s="107"/>
      <c r="BJ102" s="107">
        <v>71.20653</v>
      </c>
      <c r="BK102" s="107"/>
      <c r="BL102" s="107"/>
      <c r="BM102" s="107"/>
      <c r="BN102" s="107"/>
      <c r="BO102" s="107"/>
      <c r="BP102" s="107"/>
      <c r="BQ102" s="109"/>
      <c r="BR102" s="109"/>
      <c r="BS102" s="109"/>
      <c r="BT102" s="109"/>
      <c r="BU102" s="138"/>
    </row>
    <row r="103" spans="1:73" ht="33.75" customHeight="1" outlineLevel="2">
      <c r="A103" s="24" t="s">
        <v>1348</v>
      </c>
      <c r="B103" s="19" t="s">
        <v>428</v>
      </c>
      <c r="C103" s="20" t="s">
        <v>1496</v>
      </c>
      <c r="D103" s="218" t="s">
        <v>429</v>
      </c>
      <c r="E103" s="203" t="s">
        <v>1944</v>
      </c>
      <c r="F103" s="108">
        <f t="shared" si="6"/>
        <v>830.20289</v>
      </c>
      <c r="G103" s="106">
        <f t="shared" si="12"/>
        <v>437.51252999999997</v>
      </c>
      <c r="H103" s="106">
        <f t="shared" si="13"/>
        <v>392.69036</v>
      </c>
      <c r="I103" s="107"/>
      <c r="J103" s="107"/>
      <c r="K103" s="107"/>
      <c r="L103" s="107"/>
      <c r="M103" s="107"/>
      <c r="N103" s="107"/>
      <c r="O103" s="106"/>
      <c r="P103" s="106"/>
      <c r="Q103" s="106"/>
      <c r="R103" s="106"/>
      <c r="S103" s="106"/>
      <c r="T103" s="106"/>
      <c r="U103" s="106"/>
      <c r="V103" s="106"/>
      <c r="W103" s="106">
        <v>105.44774</v>
      </c>
      <c r="X103" s="106">
        <v>55.0511</v>
      </c>
      <c r="Y103" s="107">
        <v>8.41783</v>
      </c>
      <c r="Z103" s="106">
        <v>39.93</v>
      </c>
      <c r="AA103" s="159">
        <v>170.86201</v>
      </c>
      <c r="AB103" s="106">
        <v>118.84385</v>
      </c>
      <c r="AC103" s="107"/>
      <c r="AD103" s="107"/>
      <c r="AE103" s="107"/>
      <c r="AF103" s="107"/>
      <c r="AG103" s="107"/>
      <c r="AH103" s="107"/>
      <c r="AI103" s="107"/>
      <c r="AJ103" s="108">
        <v>29.03688</v>
      </c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6"/>
      <c r="AZ103" s="107"/>
      <c r="BA103" s="107"/>
      <c r="BB103" s="107"/>
      <c r="BC103" s="107">
        <v>152.78495</v>
      </c>
      <c r="BD103" s="107">
        <v>149.82853</v>
      </c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9"/>
      <c r="BR103" s="109"/>
      <c r="BS103" s="109"/>
      <c r="BT103" s="109"/>
      <c r="BU103" s="138"/>
    </row>
    <row r="104" spans="1:73" ht="39" customHeight="1" outlineLevel="2">
      <c r="A104" s="24" t="s">
        <v>1348</v>
      </c>
      <c r="B104" s="19" t="s">
        <v>336</v>
      </c>
      <c r="C104" s="20" t="s">
        <v>1496</v>
      </c>
      <c r="D104" s="218" t="s">
        <v>337</v>
      </c>
      <c r="E104" s="203" t="s">
        <v>1953</v>
      </c>
      <c r="F104" s="108">
        <f t="shared" si="6"/>
        <v>2686.09744</v>
      </c>
      <c r="G104" s="106">
        <f t="shared" si="12"/>
        <v>437.35819</v>
      </c>
      <c r="H104" s="106">
        <f t="shared" si="13"/>
        <v>2248.73925</v>
      </c>
      <c r="I104" s="107"/>
      <c r="J104" s="107"/>
      <c r="K104" s="107">
        <v>36.81919</v>
      </c>
      <c r="L104" s="107">
        <v>5.57319</v>
      </c>
      <c r="M104" s="107"/>
      <c r="N104" s="107"/>
      <c r="O104" s="106"/>
      <c r="P104" s="106"/>
      <c r="Q104" s="106"/>
      <c r="R104" s="106"/>
      <c r="S104" s="106"/>
      <c r="T104" s="106"/>
      <c r="U104" s="106"/>
      <c r="V104" s="106"/>
      <c r="W104" s="106">
        <v>117.0133</v>
      </c>
      <c r="X104" s="106">
        <v>61.08914</v>
      </c>
      <c r="Y104" s="107"/>
      <c r="Z104" s="106"/>
      <c r="AA104" s="159">
        <v>163.61853</v>
      </c>
      <c r="AB104" s="106">
        <v>115.87276</v>
      </c>
      <c r="AC104" s="107"/>
      <c r="AD104" s="107"/>
      <c r="AE104" s="107"/>
      <c r="AF104" s="107"/>
      <c r="AG104" s="107"/>
      <c r="AH104" s="107"/>
      <c r="AI104" s="107"/>
      <c r="AJ104" s="108">
        <v>19.89564</v>
      </c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6"/>
      <c r="AZ104" s="107"/>
      <c r="BA104" s="107"/>
      <c r="BB104" s="107"/>
      <c r="BC104" s="107">
        <v>119.90717</v>
      </c>
      <c r="BD104" s="107">
        <v>117.59046</v>
      </c>
      <c r="BE104" s="107"/>
      <c r="BF104" s="107"/>
      <c r="BG104" s="107"/>
      <c r="BH104" s="107"/>
      <c r="BI104" s="107"/>
      <c r="BJ104" s="107">
        <v>1928.71806</v>
      </c>
      <c r="BK104" s="107"/>
      <c r="BL104" s="107"/>
      <c r="BM104" s="107"/>
      <c r="BN104" s="107"/>
      <c r="BO104" s="107"/>
      <c r="BP104" s="107"/>
      <c r="BQ104" s="109"/>
      <c r="BR104" s="109"/>
      <c r="BS104" s="109"/>
      <c r="BT104" s="109"/>
      <c r="BU104" s="138"/>
    </row>
    <row r="105" spans="1:73" ht="34.5" customHeight="1" outlineLevel="2">
      <c r="A105" s="24" t="s">
        <v>1348</v>
      </c>
      <c r="B105" s="19" t="s">
        <v>777</v>
      </c>
      <c r="C105" s="20" t="s">
        <v>1496</v>
      </c>
      <c r="D105" s="218" t="s">
        <v>778</v>
      </c>
      <c r="E105" s="203" t="s">
        <v>1961</v>
      </c>
      <c r="F105" s="108">
        <f t="shared" si="6"/>
        <v>5254.71888</v>
      </c>
      <c r="G105" s="106">
        <f t="shared" si="12"/>
        <v>1819.16723</v>
      </c>
      <c r="H105" s="106">
        <f t="shared" si="13"/>
        <v>3435.5516500000003</v>
      </c>
      <c r="I105" s="107"/>
      <c r="J105" s="107"/>
      <c r="K105" s="107">
        <v>674.19028</v>
      </c>
      <c r="L105" s="107">
        <v>80.41101</v>
      </c>
      <c r="M105" s="107"/>
      <c r="N105" s="107"/>
      <c r="O105" s="106"/>
      <c r="P105" s="106"/>
      <c r="Q105" s="106"/>
      <c r="R105" s="106"/>
      <c r="S105" s="106">
        <v>132.50359</v>
      </c>
      <c r="T105" s="106">
        <v>66.2518</v>
      </c>
      <c r="U105" s="106"/>
      <c r="V105" s="106"/>
      <c r="W105" s="106">
        <v>361.09159</v>
      </c>
      <c r="X105" s="106">
        <v>188.5151</v>
      </c>
      <c r="Y105" s="107">
        <v>22.8</v>
      </c>
      <c r="Z105" s="106">
        <v>59.895</v>
      </c>
      <c r="AA105" s="159">
        <v>282.54742</v>
      </c>
      <c r="AB105" s="106">
        <v>138.65116</v>
      </c>
      <c r="AC105" s="107"/>
      <c r="AD105" s="107"/>
      <c r="AE105" s="107"/>
      <c r="AF105" s="107"/>
      <c r="AG105" s="107"/>
      <c r="AH105" s="107"/>
      <c r="AI105" s="107"/>
      <c r="AJ105" s="108">
        <v>138.31376</v>
      </c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6"/>
      <c r="AZ105" s="107"/>
      <c r="BA105" s="107">
        <v>483.196</v>
      </c>
      <c r="BB105" s="107"/>
      <c r="BC105" s="107">
        <v>346.03435</v>
      </c>
      <c r="BD105" s="107">
        <v>339.34858</v>
      </c>
      <c r="BE105" s="107"/>
      <c r="BF105" s="107"/>
      <c r="BG105" s="107"/>
      <c r="BH105" s="107"/>
      <c r="BI105" s="107"/>
      <c r="BJ105" s="107">
        <v>1940.96924</v>
      </c>
      <c r="BK105" s="107"/>
      <c r="BL105" s="107"/>
      <c r="BM105" s="107"/>
      <c r="BN105" s="107"/>
      <c r="BO105" s="107"/>
      <c r="BP105" s="107"/>
      <c r="BQ105" s="109"/>
      <c r="BR105" s="109"/>
      <c r="BS105" s="109"/>
      <c r="BT105" s="109"/>
      <c r="BU105" s="138"/>
    </row>
    <row r="106" spans="1:73" ht="36.75" customHeight="1" outlineLevel="2">
      <c r="A106" s="24" t="s">
        <v>1348</v>
      </c>
      <c r="B106" s="37" t="s">
        <v>1372</v>
      </c>
      <c r="C106" s="20" t="s">
        <v>1496</v>
      </c>
      <c r="D106" s="218" t="s">
        <v>426</v>
      </c>
      <c r="E106" s="220" t="s">
        <v>1943</v>
      </c>
      <c r="F106" s="108">
        <f t="shared" si="6"/>
        <v>15838.58255</v>
      </c>
      <c r="G106" s="106">
        <f t="shared" si="12"/>
        <v>6144.751969999999</v>
      </c>
      <c r="H106" s="106">
        <f t="shared" si="13"/>
        <v>9693.83058</v>
      </c>
      <c r="I106" s="107"/>
      <c r="J106" s="107"/>
      <c r="K106" s="107"/>
      <c r="L106" s="107"/>
      <c r="M106" s="107">
        <v>144.22872</v>
      </c>
      <c r="N106" s="107"/>
      <c r="O106" s="106"/>
      <c r="P106" s="106"/>
      <c r="Q106" s="106"/>
      <c r="R106" s="106"/>
      <c r="S106" s="106">
        <v>429.29622</v>
      </c>
      <c r="T106" s="106">
        <v>130.08974</v>
      </c>
      <c r="U106" s="106"/>
      <c r="V106" s="106"/>
      <c r="W106" s="106"/>
      <c r="X106" s="106"/>
      <c r="Y106" s="107">
        <v>20.76768</v>
      </c>
      <c r="Z106" s="106">
        <v>22.2225</v>
      </c>
      <c r="AA106" s="159">
        <v>1834.73145</v>
      </c>
      <c r="AB106" s="106">
        <v>732.27621</v>
      </c>
      <c r="AC106" s="107"/>
      <c r="AD106" s="107"/>
      <c r="AE106" s="107"/>
      <c r="AF106" s="107"/>
      <c r="AG106" s="107"/>
      <c r="AH106" s="107"/>
      <c r="AI106" s="107"/>
      <c r="AJ106" s="108">
        <v>1789.8682399999998</v>
      </c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>
        <v>99.5848</v>
      </c>
      <c r="AY106" s="106">
        <v>196.70231</v>
      </c>
      <c r="AZ106" s="107"/>
      <c r="BA106" s="107"/>
      <c r="BB106" s="107"/>
      <c r="BC106" s="107">
        <v>3760.37182</v>
      </c>
      <c r="BD106" s="107">
        <v>3687.76897</v>
      </c>
      <c r="BE106" s="107"/>
      <c r="BF106" s="107"/>
      <c r="BG106" s="107"/>
      <c r="BH106" s="107"/>
      <c r="BI106" s="107"/>
      <c r="BJ106" s="107">
        <v>2990.67389</v>
      </c>
      <c r="BK106" s="107"/>
      <c r="BL106" s="107"/>
      <c r="BM106" s="107"/>
      <c r="BN106" s="107"/>
      <c r="BO106" s="107"/>
      <c r="BP106" s="107"/>
      <c r="BQ106" s="109"/>
      <c r="BR106" s="109"/>
      <c r="BS106" s="109"/>
      <c r="BT106" s="109"/>
      <c r="BU106" s="138"/>
    </row>
    <row r="107" spans="1:73" ht="33.75" customHeight="1" outlineLevel="2">
      <c r="A107" s="24" t="s">
        <v>1348</v>
      </c>
      <c r="B107" s="19" t="s">
        <v>775</v>
      </c>
      <c r="C107" s="20" t="s">
        <v>1496</v>
      </c>
      <c r="D107" s="218" t="s">
        <v>776</v>
      </c>
      <c r="E107" s="203" t="s">
        <v>1949</v>
      </c>
      <c r="F107" s="108">
        <f t="shared" si="6"/>
        <v>5909.952130000001</v>
      </c>
      <c r="G107" s="106">
        <f t="shared" si="12"/>
        <v>1880.2949200000003</v>
      </c>
      <c r="H107" s="106">
        <f t="shared" si="13"/>
        <v>4029.6572100000003</v>
      </c>
      <c r="I107" s="107"/>
      <c r="J107" s="107"/>
      <c r="K107" s="107">
        <v>691.10679</v>
      </c>
      <c r="L107" s="107">
        <v>176.07472</v>
      </c>
      <c r="M107" s="107"/>
      <c r="N107" s="107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7"/>
      <c r="Z107" s="106"/>
      <c r="AA107" s="159">
        <v>404.25058</v>
      </c>
      <c r="AB107" s="106">
        <v>304.63641</v>
      </c>
      <c r="AC107" s="107"/>
      <c r="AD107" s="107"/>
      <c r="AE107" s="107"/>
      <c r="AF107" s="107"/>
      <c r="AG107" s="107"/>
      <c r="AH107" s="107"/>
      <c r="AI107" s="107"/>
      <c r="AJ107" s="108">
        <v>315.59916</v>
      </c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6"/>
      <c r="AZ107" s="107"/>
      <c r="BA107" s="107"/>
      <c r="BB107" s="107"/>
      <c r="BC107" s="107">
        <v>784.93755</v>
      </c>
      <c r="BD107" s="107">
        <v>769.77988</v>
      </c>
      <c r="BE107" s="107"/>
      <c r="BF107" s="107"/>
      <c r="BG107" s="107"/>
      <c r="BH107" s="107"/>
      <c r="BI107" s="107"/>
      <c r="BJ107" s="107">
        <v>2187.26119</v>
      </c>
      <c r="BK107" s="107"/>
      <c r="BL107" s="107"/>
      <c r="BM107" s="107">
        <v>276.30585</v>
      </c>
      <c r="BN107" s="107"/>
      <c r="BO107" s="107"/>
      <c r="BP107" s="107"/>
      <c r="BQ107" s="109"/>
      <c r="BR107" s="109"/>
      <c r="BS107" s="109"/>
      <c r="BT107" s="109"/>
      <c r="BU107" s="138"/>
    </row>
    <row r="108" spans="1:73" ht="36" customHeight="1" outlineLevel="2">
      <c r="A108" s="24" t="s">
        <v>1348</v>
      </c>
      <c r="B108" s="19" t="s">
        <v>971</v>
      </c>
      <c r="C108" s="20" t="s">
        <v>1496</v>
      </c>
      <c r="D108" s="218" t="s">
        <v>588</v>
      </c>
      <c r="E108" s="203" t="s">
        <v>1948</v>
      </c>
      <c r="F108" s="108">
        <f t="shared" si="6"/>
        <v>2420.22278</v>
      </c>
      <c r="G108" s="106">
        <f t="shared" si="12"/>
        <v>199.26267</v>
      </c>
      <c r="H108" s="106">
        <f t="shared" si="13"/>
        <v>2220.96011</v>
      </c>
      <c r="I108" s="107"/>
      <c r="J108" s="107"/>
      <c r="K108" s="107"/>
      <c r="L108" s="107"/>
      <c r="M108" s="107"/>
      <c r="N108" s="107"/>
      <c r="O108" s="106"/>
      <c r="P108" s="106"/>
      <c r="Q108" s="106"/>
      <c r="R108" s="106"/>
      <c r="S108" s="106"/>
      <c r="T108" s="106"/>
      <c r="U108" s="106"/>
      <c r="V108" s="106"/>
      <c r="W108" s="106">
        <v>77.29723</v>
      </c>
      <c r="X108" s="106">
        <v>40.35456</v>
      </c>
      <c r="Y108" s="107">
        <v>4.56</v>
      </c>
      <c r="Z108" s="106">
        <v>11.979</v>
      </c>
      <c r="AA108" s="159">
        <v>22.57522</v>
      </c>
      <c r="AB108" s="106">
        <v>14.26126</v>
      </c>
      <c r="AC108" s="107"/>
      <c r="AD108" s="107"/>
      <c r="AE108" s="107"/>
      <c r="AF108" s="107"/>
      <c r="AG108" s="107"/>
      <c r="AH108" s="107"/>
      <c r="AI108" s="107"/>
      <c r="AJ108" s="108">
        <v>42.282039999999995</v>
      </c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6"/>
      <c r="AZ108" s="107"/>
      <c r="BA108" s="107"/>
      <c r="BB108" s="107"/>
      <c r="BC108" s="107">
        <v>94.83022</v>
      </c>
      <c r="BD108" s="107">
        <v>92.9967</v>
      </c>
      <c r="BE108" s="107"/>
      <c r="BF108" s="107"/>
      <c r="BG108" s="107"/>
      <c r="BH108" s="107"/>
      <c r="BI108" s="107"/>
      <c r="BJ108" s="107">
        <v>2019.08655</v>
      </c>
      <c r="BK108" s="107"/>
      <c r="BL108" s="107"/>
      <c r="BM108" s="107"/>
      <c r="BN108" s="107"/>
      <c r="BO108" s="107"/>
      <c r="BP108" s="107"/>
      <c r="BQ108" s="109"/>
      <c r="BR108" s="109"/>
      <c r="BS108" s="109"/>
      <c r="BT108" s="109"/>
      <c r="BU108" s="138"/>
    </row>
    <row r="109" spans="1:73" ht="36" customHeight="1" outlineLevel="2">
      <c r="A109" s="24" t="s">
        <v>1348</v>
      </c>
      <c r="B109" s="19" t="s">
        <v>1109</v>
      </c>
      <c r="C109" s="20" t="s">
        <v>1496</v>
      </c>
      <c r="D109" s="218" t="s">
        <v>427</v>
      </c>
      <c r="E109" s="203" t="s">
        <v>1951</v>
      </c>
      <c r="F109" s="108">
        <f t="shared" si="6"/>
        <v>1281.11355</v>
      </c>
      <c r="G109" s="106">
        <f t="shared" si="12"/>
        <v>570.01847</v>
      </c>
      <c r="H109" s="106">
        <f t="shared" si="13"/>
        <v>711.09508</v>
      </c>
      <c r="I109" s="107"/>
      <c r="J109" s="107"/>
      <c r="K109" s="107"/>
      <c r="L109" s="107"/>
      <c r="M109" s="107"/>
      <c r="N109" s="107"/>
      <c r="O109" s="106"/>
      <c r="P109" s="106"/>
      <c r="Q109" s="106"/>
      <c r="R109" s="106"/>
      <c r="S109" s="106">
        <v>63.48182</v>
      </c>
      <c r="T109" s="106">
        <v>31.74092</v>
      </c>
      <c r="U109" s="106"/>
      <c r="V109" s="106"/>
      <c r="W109" s="106"/>
      <c r="X109" s="106"/>
      <c r="Y109" s="107">
        <v>15.352</v>
      </c>
      <c r="Z109" s="106">
        <v>40.3293</v>
      </c>
      <c r="AA109" s="159">
        <v>190.90506</v>
      </c>
      <c r="AB109" s="106">
        <v>128.74751</v>
      </c>
      <c r="AC109" s="107"/>
      <c r="AD109" s="107"/>
      <c r="AE109" s="107"/>
      <c r="AF109" s="107"/>
      <c r="AG109" s="107"/>
      <c r="AH109" s="107"/>
      <c r="AI109" s="107"/>
      <c r="AJ109" s="108">
        <v>121.83112</v>
      </c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6"/>
      <c r="AZ109" s="107"/>
      <c r="BA109" s="107"/>
      <c r="BB109" s="107"/>
      <c r="BC109" s="107">
        <v>300.27959</v>
      </c>
      <c r="BD109" s="107">
        <v>294.47666</v>
      </c>
      <c r="BE109" s="107"/>
      <c r="BF109" s="107"/>
      <c r="BG109" s="107"/>
      <c r="BH109" s="107"/>
      <c r="BI109" s="107"/>
      <c r="BJ109" s="107">
        <v>93.96957</v>
      </c>
      <c r="BK109" s="107"/>
      <c r="BL109" s="107"/>
      <c r="BM109" s="107"/>
      <c r="BN109" s="107"/>
      <c r="BO109" s="107"/>
      <c r="BP109" s="107"/>
      <c r="BQ109" s="109"/>
      <c r="BR109" s="109"/>
      <c r="BS109" s="109"/>
      <c r="BT109" s="109"/>
      <c r="BU109" s="138"/>
    </row>
    <row r="110" spans="1:73" ht="33.75" customHeight="1" outlineLevel="2">
      <c r="A110" s="24" t="s">
        <v>1348</v>
      </c>
      <c r="B110" s="19" t="s">
        <v>338</v>
      </c>
      <c r="C110" s="20" t="s">
        <v>1496</v>
      </c>
      <c r="D110" s="218" t="s">
        <v>339</v>
      </c>
      <c r="E110" s="203" t="s">
        <v>1952</v>
      </c>
      <c r="F110" s="108">
        <f t="shared" si="6"/>
        <v>595.07818</v>
      </c>
      <c r="G110" s="106">
        <f t="shared" si="12"/>
        <v>319.43413999999996</v>
      </c>
      <c r="H110" s="106">
        <f t="shared" si="13"/>
        <v>275.64404</v>
      </c>
      <c r="I110" s="107"/>
      <c r="J110" s="107"/>
      <c r="K110" s="107">
        <v>27.72233</v>
      </c>
      <c r="L110" s="107">
        <v>3.24507</v>
      </c>
      <c r="M110" s="107"/>
      <c r="N110" s="107"/>
      <c r="O110" s="106"/>
      <c r="P110" s="106"/>
      <c r="Q110" s="106"/>
      <c r="R110" s="106"/>
      <c r="S110" s="106"/>
      <c r="T110" s="106"/>
      <c r="U110" s="106"/>
      <c r="V110" s="106"/>
      <c r="W110" s="106">
        <v>102.4595</v>
      </c>
      <c r="X110" s="106">
        <v>53.49104</v>
      </c>
      <c r="Y110" s="107">
        <v>15.2</v>
      </c>
      <c r="Z110" s="106">
        <v>39.93</v>
      </c>
      <c r="AA110" s="159">
        <v>54.96954</v>
      </c>
      <c r="AB110" s="106">
        <v>39.61462</v>
      </c>
      <c r="AC110" s="107"/>
      <c r="AD110" s="107"/>
      <c r="AE110" s="107"/>
      <c r="AF110" s="107"/>
      <c r="AG110" s="107"/>
      <c r="AH110" s="107"/>
      <c r="AI110" s="107"/>
      <c r="AJ110" s="108">
        <v>22.58424</v>
      </c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6"/>
      <c r="AZ110" s="107"/>
      <c r="BA110" s="107"/>
      <c r="BB110" s="107"/>
      <c r="BC110" s="107">
        <v>119.08277</v>
      </c>
      <c r="BD110" s="107">
        <v>116.77907</v>
      </c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9"/>
      <c r="BR110" s="109"/>
      <c r="BS110" s="109"/>
      <c r="BT110" s="109"/>
      <c r="BU110" s="138"/>
    </row>
    <row r="111" spans="1:73" ht="36.75" customHeight="1" outlineLevel="2">
      <c r="A111" s="24" t="s">
        <v>1348</v>
      </c>
      <c r="B111" s="19" t="s">
        <v>340</v>
      </c>
      <c r="C111" s="20" t="s">
        <v>1496</v>
      </c>
      <c r="D111" s="218" t="s">
        <v>341</v>
      </c>
      <c r="E111" s="203" t="s">
        <v>1956</v>
      </c>
      <c r="F111" s="108">
        <f t="shared" si="6"/>
        <v>3369.8680999999997</v>
      </c>
      <c r="G111" s="106">
        <f t="shared" si="12"/>
        <v>1541.4807099999998</v>
      </c>
      <c r="H111" s="106">
        <f t="shared" si="13"/>
        <v>1828.3873899999999</v>
      </c>
      <c r="I111" s="107"/>
      <c r="J111" s="107"/>
      <c r="K111" s="107">
        <v>363.62044</v>
      </c>
      <c r="L111" s="107">
        <v>40.81418</v>
      </c>
      <c r="M111" s="107"/>
      <c r="N111" s="107"/>
      <c r="O111" s="106"/>
      <c r="P111" s="106"/>
      <c r="Q111" s="106"/>
      <c r="R111" s="106"/>
      <c r="S111" s="106">
        <f>1.69352</f>
        <v>1.69352</v>
      </c>
      <c r="T111" s="106">
        <v>0.42338</v>
      </c>
      <c r="U111" s="106"/>
      <c r="V111" s="106"/>
      <c r="W111" s="106">
        <v>436.27806</v>
      </c>
      <c r="X111" s="106">
        <v>227.7677</v>
      </c>
      <c r="Y111" s="107">
        <v>25.84</v>
      </c>
      <c r="Z111" s="106">
        <v>67.881</v>
      </c>
      <c r="AA111" s="159">
        <v>232.80098</v>
      </c>
      <c r="AB111" s="106">
        <v>121.02266</v>
      </c>
      <c r="AC111" s="107"/>
      <c r="AD111" s="107"/>
      <c r="AE111" s="107"/>
      <c r="AF111" s="107"/>
      <c r="AG111" s="107"/>
      <c r="AH111" s="107"/>
      <c r="AI111" s="107"/>
      <c r="AJ111" s="108">
        <v>193.13888</v>
      </c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6"/>
      <c r="AZ111" s="107"/>
      <c r="BA111" s="107">
        <v>36.5756</v>
      </c>
      <c r="BB111" s="107"/>
      <c r="BC111" s="107">
        <v>481.24771</v>
      </c>
      <c r="BD111" s="107">
        <v>471.94679</v>
      </c>
      <c r="BE111" s="107"/>
      <c r="BF111" s="107"/>
      <c r="BG111" s="107"/>
      <c r="BH111" s="107"/>
      <c r="BI111" s="107"/>
      <c r="BJ111" s="107">
        <v>668.8172</v>
      </c>
      <c r="BK111" s="107"/>
      <c r="BL111" s="107"/>
      <c r="BM111" s="107"/>
      <c r="BN111" s="107"/>
      <c r="BO111" s="107"/>
      <c r="BP111" s="107"/>
      <c r="BQ111" s="109"/>
      <c r="BR111" s="109"/>
      <c r="BS111" s="109"/>
      <c r="BT111" s="109"/>
      <c r="BU111" s="138"/>
    </row>
    <row r="112" spans="1:73" ht="36.75" customHeight="1" outlineLevel="2">
      <c r="A112" s="24" t="s">
        <v>1348</v>
      </c>
      <c r="B112" s="19" t="s">
        <v>870</v>
      </c>
      <c r="C112" s="20" t="s">
        <v>1496</v>
      </c>
      <c r="D112" s="218" t="s">
        <v>871</v>
      </c>
      <c r="E112" s="203" t="s">
        <v>1946</v>
      </c>
      <c r="F112" s="108">
        <f t="shared" si="6"/>
        <v>2294.80571</v>
      </c>
      <c r="G112" s="106">
        <f t="shared" si="12"/>
        <v>187.43514</v>
      </c>
      <c r="H112" s="106">
        <f t="shared" si="13"/>
        <v>2107.37057</v>
      </c>
      <c r="I112" s="107"/>
      <c r="J112" s="107"/>
      <c r="K112" s="107"/>
      <c r="L112" s="107"/>
      <c r="M112" s="107"/>
      <c r="N112" s="107"/>
      <c r="O112" s="106"/>
      <c r="P112" s="106"/>
      <c r="Q112" s="106"/>
      <c r="R112" s="106"/>
      <c r="S112" s="106"/>
      <c r="T112" s="106"/>
      <c r="U112" s="106"/>
      <c r="V112" s="106"/>
      <c r="W112" s="106">
        <v>76.14182</v>
      </c>
      <c r="X112" s="106">
        <v>39.75136</v>
      </c>
      <c r="Y112" s="107"/>
      <c r="Z112" s="106"/>
      <c r="AA112" s="159">
        <v>25.13993</v>
      </c>
      <c r="AB112" s="106">
        <v>18.22272</v>
      </c>
      <c r="AC112" s="107"/>
      <c r="AD112" s="107"/>
      <c r="AE112" s="107"/>
      <c r="AF112" s="107"/>
      <c r="AG112" s="107"/>
      <c r="AH112" s="107"/>
      <c r="AI112" s="107"/>
      <c r="AJ112" s="108">
        <v>36.191599999999994</v>
      </c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6"/>
      <c r="AZ112" s="107"/>
      <c r="BA112" s="107"/>
      <c r="BB112" s="107"/>
      <c r="BC112" s="107">
        <v>86.15339</v>
      </c>
      <c r="BD112" s="107">
        <v>84.48683</v>
      </c>
      <c r="BE112" s="107"/>
      <c r="BF112" s="107"/>
      <c r="BG112" s="107"/>
      <c r="BH112" s="107"/>
      <c r="BI112" s="107"/>
      <c r="BJ112" s="107">
        <v>1928.71806</v>
      </c>
      <c r="BK112" s="107"/>
      <c r="BL112" s="107"/>
      <c r="BM112" s="107"/>
      <c r="BN112" s="107"/>
      <c r="BO112" s="107"/>
      <c r="BP112" s="107"/>
      <c r="BQ112" s="109"/>
      <c r="BR112" s="109"/>
      <c r="BS112" s="109"/>
      <c r="BT112" s="109"/>
      <c r="BU112" s="138"/>
    </row>
    <row r="113" spans="1:73" ht="38.25" customHeight="1" outlineLevel="2">
      <c r="A113" s="24" t="s">
        <v>1348</v>
      </c>
      <c r="B113" s="19" t="s">
        <v>969</v>
      </c>
      <c r="C113" s="20" t="s">
        <v>1496</v>
      </c>
      <c r="D113" s="218" t="s">
        <v>970</v>
      </c>
      <c r="E113" s="203" t="s">
        <v>2782</v>
      </c>
      <c r="F113" s="108">
        <f t="shared" si="6"/>
        <v>128.46141</v>
      </c>
      <c r="G113" s="106">
        <f t="shared" si="12"/>
        <v>64.85054</v>
      </c>
      <c r="H113" s="106">
        <f t="shared" si="13"/>
        <v>63.61087</v>
      </c>
      <c r="I113" s="107"/>
      <c r="J113" s="107"/>
      <c r="K113" s="107"/>
      <c r="L113" s="107"/>
      <c r="M113" s="107"/>
      <c r="N113" s="107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7"/>
      <c r="Z113" s="106"/>
      <c r="AA113" s="159"/>
      <c r="AB113" s="106"/>
      <c r="AC113" s="107"/>
      <c r="AD113" s="107"/>
      <c r="AE113" s="107"/>
      <c r="AF113" s="107"/>
      <c r="AG113" s="107"/>
      <c r="AH113" s="107"/>
      <c r="AI113" s="107"/>
      <c r="AJ113" s="108">
        <v>0</v>
      </c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6"/>
      <c r="AZ113" s="107"/>
      <c r="BA113" s="107"/>
      <c r="BB113" s="107"/>
      <c r="BC113" s="107">
        <v>64.85054</v>
      </c>
      <c r="BD113" s="107">
        <v>63.61087</v>
      </c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9"/>
      <c r="BR113" s="109"/>
      <c r="BS113" s="109"/>
      <c r="BT113" s="109"/>
      <c r="BU113" s="138"/>
    </row>
    <row r="114" spans="1:73" ht="31.5" customHeight="1" outlineLevel="2">
      <c r="A114" s="24" t="s">
        <v>1348</v>
      </c>
      <c r="B114" s="19" t="s">
        <v>872</v>
      </c>
      <c r="C114" s="20" t="s">
        <v>1496</v>
      </c>
      <c r="D114" s="218" t="s">
        <v>331</v>
      </c>
      <c r="E114" s="203" t="s">
        <v>1958</v>
      </c>
      <c r="F114" s="108">
        <f t="shared" si="6"/>
        <v>1837.0228300000003</v>
      </c>
      <c r="G114" s="106">
        <f t="shared" si="12"/>
        <v>968.2955200000001</v>
      </c>
      <c r="H114" s="106">
        <f t="shared" si="13"/>
        <v>868.7273100000001</v>
      </c>
      <c r="I114" s="107"/>
      <c r="J114" s="107"/>
      <c r="K114" s="107">
        <v>289.6193</v>
      </c>
      <c r="L114" s="107">
        <v>52.22527</v>
      </c>
      <c r="M114" s="107"/>
      <c r="N114" s="107"/>
      <c r="O114" s="106"/>
      <c r="P114" s="106"/>
      <c r="Q114" s="106"/>
      <c r="R114" s="106"/>
      <c r="S114" s="106">
        <v>48.11897</v>
      </c>
      <c r="T114" s="106">
        <v>24.05948</v>
      </c>
      <c r="U114" s="106"/>
      <c r="V114" s="106"/>
      <c r="W114" s="106">
        <v>251.30014</v>
      </c>
      <c r="X114" s="106">
        <v>131.19627</v>
      </c>
      <c r="Y114" s="107">
        <v>15.53755</v>
      </c>
      <c r="Z114" s="106">
        <v>45.9729</v>
      </c>
      <c r="AA114" s="159">
        <v>106.0297</v>
      </c>
      <c r="AB114" s="106">
        <v>51.499</v>
      </c>
      <c r="AC114" s="107"/>
      <c r="AD114" s="107"/>
      <c r="AE114" s="107"/>
      <c r="AF114" s="107"/>
      <c r="AG114" s="107"/>
      <c r="AH114" s="107"/>
      <c r="AI114" s="107"/>
      <c r="AJ114" s="108">
        <v>97.63996</v>
      </c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6"/>
      <c r="AZ114" s="107"/>
      <c r="BA114" s="107">
        <v>53.06149</v>
      </c>
      <c r="BB114" s="107"/>
      <c r="BC114" s="107">
        <v>257.68986</v>
      </c>
      <c r="BD114" s="107">
        <v>252.7098</v>
      </c>
      <c r="BE114" s="107">
        <v>76.27119</v>
      </c>
      <c r="BF114" s="107"/>
      <c r="BG114" s="107"/>
      <c r="BH114" s="107"/>
      <c r="BI114" s="107"/>
      <c r="BJ114" s="107">
        <v>84.09195</v>
      </c>
      <c r="BK114" s="107"/>
      <c r="BL114" s="107"/>
      <c r="BM114" s="107"/>
      <c r="BN114" s="107"/>
      <c r="BO114" s="107"/>
      <c r="BP114" s="107"/>
      <c r="BQ114" s="109"/>
      <c r="BR114" s="109"/>
      <c r="BS114" s="109"/>
      <c r="BT114" s="109"/>
      <c r="BU114" s="138"/>
    </row>
    <row r="115" spans="1:73" ht="32.25" customHeight="1" outlineLevel="2">
      <c r="A115" s="24" t="s">
        <v>1348</v>
      </c>
      <c r="B115" s="19" t="s">
        <v>342</v>
      </c>
      <c r="C115" s="20" t="s">
        <v>1496</v>
      </c>
      <c r="D115" s="218" t="s">
        <v>524</v>
      </c>
      <c r="E115" s="203" t="s">
        <v>1955</v>
      </c>
      <c r="F115" s="108">
        <f t="shared" si="6"/>
        <v>2983.51794</v>
      </c>
      <c r="G115" s="106">
        <f t="shared" si="12"/>
        <v>1919.1045800000002</v>
      </c>
      <c r="H115" s="106">
        <f t="shared" si="13"/>
        <v>1064.41336</v>
      </c>
      <c r="I115" s="107"/>
      <c r="J115" s="107"/>
      <c r="K115" s="107">
        <v>1113.42597</v>
      </c>
      <c r="L115" s="107">
        <v>263.45756</v>
      </c>
      <c r="M115" s="107"/>
      <c r="N115" s="107"/>
      <c r="O115" s="106"/>
      <c r="P115" s="106"/>
      <c r="Q115" s="106"/>
      <c r="R115" s="106"/>
      <c r="S115" s="106"/>
      <c r="T115" s="106"/>
      <c r="U115" s="106"/>
      <c r="V115" s="106"/>
      <c r="W115" s="106">
        <v>292.73505</v>
      </c>
      <c r="X115" s="106">
        <v>152.82819</v>
      </c>
      <c r="Y115" s="107">
        <v>10.94318</v>
      </c>
      <c r="Z115" s="106">
        <v>51.909</v>
      </c>
      <c r="AA115" s="159">
        <v>155.04951</v>
      </c>
      <c r="AB115" s="106">
        <v>108.34598</v>
      </c>
      <c r="AC115" s="107"/>
      <c r="AD115" s="107"/>
      <c r="AE115" s="107"/>
      <c r="AF115" s="107"/>
      <c r="AG115" s="107"/>
      <c r="AH115" s="107"/>
      <c r="AI115" s="107"/>
      <c r="AJ115" s="108">
        <v>147.63052</v>
      </c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6"/>
      <c r="AZ115" s="107"/>
      <c r="BA115" s="118"/>
      <c r="BB115" s="107"/>
      <c r="BC115" s="107">
        <v>346.95087</v>
      </c>
      <c r="BD115" s="107">
        <v>340.24211</v>
      </c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9"/>
      <c r="BR115" s="109"/>
      <c r="BS115" s="109"/>
      <c r="BT115" s="109"/>
      <c r="BU115" s="138"/>
    </row>
    <row r="116" spans="1:73" ht="33.75" customHeight="1" outlineLevel="2">
      <c r="A116" s="24" t="s">
        <v>1348</v>
      </c>
      <c r="B116" s="19" t="s">
        <v>332</v>
      </c>
      <c r="C116" s="20" t="s">
        <v>1496</v>
      </c>
      <c r="D116" s="218" t="s">
        <v>333</v>
      </c>
      <c r="E116" s="203" t="s">
        <v>1947</v>
      </c>
      <c r="F116" s="108">
        <f t="shared" si="6"/>
        <v>2304.40407</v>
      </c>
      <c r="G116" s="106">
        <f t="shared" si="12"/>
        <v>189.53965</v>
      </c>
      <c r="H116" s="106">
        <f t="shared" si="13"/>
        <v>2114.86442</v>
      </c>
      <c r="I116" s="107"/>
      <c r="J116" s="107"/>
      <c r="K116" s="107"/>
      <c r="L116" s="107"/>
      <c r="M116" s="107"/>
      <c r="N116" s="107"/>
      <c r="O116" s="106"/>
      <c r="P116" s="106"/>
      <c r="Q116" s="106"/>
      <c r="R116" s="106"/>
      <c r="S116" s="106"/>
      <c r="T116" s="106"/>
      <c r="U116" s="106"/>
      <c r="V116" s="106"/>
      <c r="W116" s="106">
        <v>81.47565</v>
      </c>
      <c r="X116" s="106">
        <v>42.536</v>
      </c>
      <c r="Y116" s="107">
        <v>4.56</v>
      </c>
      <c r="Z116" s="106">
        <v>11.979</v>
      </c>
      <c r="AA116" s="159">
        <v>14.89536</v>
      </c>
      <c r="AB116" s="106">
        <v>10.69595</v>
      </c>
      <c r="AC116" s="107"/>
      <c r="AD116" s="107"/>
      <c r="AE116" s="107"/>
      <c r="AF116" s="107"/>
      <c r="AG116" s="107"/>
      <c r="AH116" s="107"/>
      <c r="AI116" s="107"/>
      <c r="AJ116" s="108">
        <v>34.04072</v>
      </c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6"/>
      <c r="AZ116" s="107"/>
      <c r="BA116" s="107"/>
      <c r="BB116" s="107"/>
      <c r="BC116" s="107">
        <v>88.60864</v>
      </c>
      <c r="BD116" s="107">
        <v>86.89469</v>
      </c>
      <c r="BE116" s="107"/>
      <c r="BF116" s="107"/>
      <c r="BG116" s="107"/>
      <c r="BH116" s="107"/>
      <c r="BI116" s="107"/>
      <c r="BJ116" s="107">
        <v>1928.71806</v>
      </c>
      <c r="BK116" s="107"/>
      <c r="BL116" s="107"/>
      <c r="BM116" s="107"/>
      <c r="BN116" s="107"/>
      <c r="BO116" s="107"/>
      <c r="BP116" s="107"/>
      <c r="BQ116" s="109"/>
      <c r="BR116" s="109"/>
      <c r="BS116" s="109"/>
      <c r="BT116" s="109"/>
      <c r="BU116" s="138"/>
    </row>
    <row r="117" spans="1:73" ht="34.5" customHeight="1" outlineLevel="2">
      <c r="A117" s="24" t="s">
        <v>1348</v>
      </c>
      <c r="B117" s="19" t="s">
        <v>334</v>
      </c>
      <c r="C117" s="20" t="s">
        <v>1496</v>
      </c>
      <c r="D117" s="218" t="s">
        <v>335</v>
      </c>
      <c r="E117" s="220" t="s">
        <v>1945</v>
      </c>
      <c r="F117" s="108">
        <f t="shared" si="6"/>
        <v>2709.15746</v>
      </c>
      <c r="G117" s="106">
        <f t="shared" si="12"/>
        <v>351.35011</v>
      </c>
      <c r="H117" s="106">
        <f t="shared" si="13"/>
        <v>2357.80735</v>
      </c>
      <c r="I117" s="107"/>
      <c r="J117" s="107"/>
      <c r="K117" s="107"/>
      <c r="L117" s="107"/>
      <c r="M117" s="107"/>
      <c r="N117" s="107"/>
      <c r="O117" s="106"/>
      <c r="P117" s="106"/>
      <c r="Q117" s="106"/>
      <c r="R117" s="106"/>
      <c r="S117" s="106"/>
      <c r="T117" s="106"/>
      <c r="U117" s="106"/>
      <c r="V117" s="106"/>
      <c r="W117" s="106">
        <v>137.52216</v>
      </c>
      <c r="X117" s="106">
        <v>71.79619</v>
      </c>
      <c r="Y117" s="107"/>
      <c r="Z117" s="106"/>
      <c r="AA117" s="159">
        <v>61.07771</v>
      </c>
      <c r="AB117" s="106">
        <v>43.57608</v>
      </c>
      <c r="AC117" s="107"/>
      <c r="AD117" s="107"/>
      <c r="AE117" s="107"/>
      <c r="AF117" s="107"/>
      <c r="AG117" s="107"/>
      <c r="AH117" s="107"/>
      <c r="AI117" s="107"/>
      <c r="AJ117" s="108">
        <v>69.15688</v>
      </c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6"/>
      <c r="AZ117" s="107"/>
      <c r="BA117" s="107">
        <v>100.73245</v>
      </c>
      <c r="BB117" s="107"/>
      <c r="BC117" s="107">
        <v>152.75024</v>
      </c>
      <c r="BD117" s="107">
        <v>149.79476</v>
      </c>
      <c r="BE117" s="107"/>
      <c r="BF117" s="107"/>
      <c r="BG117" s="107"/>
      <c r="BH117" s="107"/>
      <c r="BI117" s="107"/>
      <c r="BJ117" s="107">
        <v>1922.75099</v>
      </c>
      <c r="BK117" s="107"/>
      <c r="BL117" s="107"/>
      <c r="BM117" s="107"/>
      <c r="BN117" s="107"/>
      <c r="BO117" s="107"/>
      <c r="BP117" s="107"/>
      <c r="BQ117" s="109"/>
      <c r="BR117" s="109"/>
      <c r="BS117" s="109"/>
      <c r="BT117" s="109"/>
      <c r="BU117" s="138"/>
    </row>
    <row r="118" spans="1:73" ht="30.75" customHeight="1" outlineLevel="2">
      <c r="A118" s="24" t="s">
        <v>1348</v>
      </c>
      <c r="B118" s="19" t="s">
        <v>1482</v>
      </c>
      <c r="C118" s="20" t="s">
        <v>1496</v>
      </c>
      <c r="D118" s="218" t="s">
        <v>525</v>
      </c>
      <c r="E118" s="203" t="s">
        <v>1963</v>
      </c>
      <c r="F118" s="108">
        <f t="shared" si="6"/>
        <v>685.3054099999999</v>
      </c>
      <c r="G118" s="106">
        <f t="shared" si="12"/>
        <v>167.88299</v>
      </c>
      <c r="H118" s="106">
        <f t="shared" si="13"/>
        <v>517.42242</v>
      </c>
      <c r="I118" s="107"/>
      <c r="J118" s="107"/>
      <c r="K118" s="107">
        <v>73.45476</v>
      </c>
      <c r="L118" s="107">
        <v>22.3412</v>
      </c>
      <c r="M118" s="107"/>
      <c r="N118" s="107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7">
        <v>6.08</v>
      </c>
      <c r="Z118" s="106">
        <v>15.972</v>
      </c>
      <c r="AA118" s="159">
        <v>26.77513</v>
      </c>
      <c r="AB118" s="106">
        <v>17.62851</v>
      </c>
      <c r="AC118" s="107"/>
      <c r="AD118" s="107"/>
      <c r="AE118" s="107"/>
      <c r="AF118" s="107"/>
      <c r="AG118" s="107"/>
      <c r="AH118" s="107"/>
      <c r="AI118" s="107"/>
      <c r="AJ118" s="108">
        <v>24.723959999999998</v>
      </c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>
        <v>216.32</v>
      </c>
      <c r="AW118" s="107"/>
      <c r="AX118" s="107"/>
      <c r="AY118" s="106"/>
      <c r="AZ118" s="107">
        <v>91.08</v>
      </c>
      <c r="BA118" s="107"/>
      <c r="BB118" s="107"/>
      <c r="BC118" s="107">
        <v>61.5731</v>
      </c>
      <c r="BD118" s="107">
        <v>60.38429</v>
      </c>
      <c r="BE118" s="107"/>
      <c r="BF118" s="107"/>
      <c r="BG118" s="107"/>
      <c r="BH118" s="107"/>
      <c r="BI118" s="107"/>
      <c r="BJ118" s="107">
        <v>68.97246</v>
      </c>
      <c r="BK118" s="107"/>
      <c r="BL118" s="107"/>
      <c r="BM118" s="107"/>
      <c r="BN118" s="107"/>
      <c r="BO118" s="107"/>
      <c r="BP118" s="107"/>
      <c r="BQ118" s="109"/>
      <c r="BR118" s="109"/>
      <c r="BS118" s="109"/>
      <c r="BT118" s="109"/>
      <c r="BU118" s="138"/>
    </row>
    <row r="119" spans="1:73" ht="38.25" customHeight="1" outlineLevel="2">
      <c r="A119" s="24" t="s">
        <v>1348</v>
      </c>
      <c r="B119" s="22" t="s">
        <v>1098</v>
      </c>
      <c r="C119" s="20" t="s">
        <v>587</v>
      </c>
      <c r="D119" s="218" t="s">
        <v>928</v>
      </c>
      <c r="E119" s="220" t="s">
        <v>1933</v>
      </c>
      <c r="F119" s="108">
        <f t="shared" si="6"/>
        <v>308.17003</v>
      </c>
      <c r="G119" s="106">
        <f t="shared" si="12"/>
        <v>54.72654</v>
      </c>
      <c r="H119" s="106">
        <f t="shared" si="13"/>
        <v>253.44349</v>
      </c>
      <c r="I119" s="107"/>
      <c r="J119" s="107"/>
      <c r="K119" s="107"/>
      <c r="L119" s="107"/>
      <c r="M119" s="107"/>
      <c r="N119" s="107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7"/>
      <c r="Z119" s="106"/>
      <c r="AA119" s="106"/>
      <c r="AB119" s="106"/>
      <c r="AC119" s="107"/>
      <c r="AD119" s="107"/>
      <c r="AE119" s="107"/>
      <c r="AF119" s="107"/>
      <c r="AG119" s="107"/>
      <c r="AH119" s="107"/>
      <c r="AI119" s="107"/>
      <c r="AJ119" s="108">
        <v>42.47988</v>
      </c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6"/>
      <c r="AZ119" s="107"/>
      <c r="BA119" s="107"/>
      <c r="BB119" s="107"/>
      <c r="BC119" s="107">
        <v>54.72654</v>
      </c>
      <c r="BD119" s="107">
        <v>53.66672</v>
      </c>
      <c r="BE119" s="107"/>
      <c r="BF119" s="107"/>
      <c r="BG119" s="107"/>
      <c r="BH119" s="107"/>
      <c r="BI119" s="107"/>
      <c r="BJ119" s="107">
        <v>157.29689</v>
      </c>
      <c r="BK119" s="107"/>
      <c r="BL119" s="107"/>
      <c r="BM119" s="107"/>
      <c r="BN119" s="107"/>
      <c r="BO119" s="107"/>
      <c r="BP119" s="107"/>
      <c r="BQ119" s="109"/>
      <c r="BR119" s="109"/>
      <c r="BS119" s="109"/>
      <c r="BT119" s="109"/>
      <c r="BU119" s="138"/>
    </row>
    <row r="120" spans="1:73" ht="38.25" customHeight="1" outlineLevel="2">
      <c r="A120" s="24" t="s">
        <v>1348</v>
      </c>
      <c r="B120" s="22" t="s">
        <v>393</v>
      </c>
      <c r="C120" s="20" t="s">
        <v>587</v>
      </c>
      <c r="D120" s="225" t="s">
        <v>1562</v>
      </c>
      <c r="E120" s="226" t="s">
        <v>1934</v>
      </c>
      <c r="F120" s="108">
        <f t="shared" si="6"/>
        <v>2722.8558700000003</v>
      </c>
      <c r="G120" s="106">
        <f t="shared" si="12"/>
        <v>685.3838000000001</v>
      </c>
      <c r="H120" s="106">
        <f t="shared" si="13"/>
        <v>2037.4720700000003</v>
      </c>
      <c r="I120" s="107"/>
      <c r="J120" s="107"/>
      <c r="K120" s="107"/>
      <c r="L120" s="107"/>
      <c r="M120" s="107"/>
      <c r="N120" s="107"/>
      <c r="O120" s="106">
        <v>138.28144</v>
      </c>
      <c r="P120" s="106">
        <v>6.16463</v>
      </c>
      <c r="Q120" s="106"/>
      <c r="R120" s="106"/>
      <c r="S120" s="106"/>
      <c r="T120" s="106"/>
      <c r="U120" s="106"/>
      <c r="V120" s="106"/>
      <c r="W120" s="106">
        <v>216.31288</v>
      </c>
      <c r="X120" s="106">
        <v>112.93046</v>
      </c>
      <c r="Y120" s="107"/>
      <c r="Z120" s="106"/>
      <c r="AA120" s="106">
        <v>95.64105</v>
      </c>
      <c r="AB120" s="106">
        <v>69.32558</v>
      </c>
      <c r="AC120" s="107"/>
      <c r="AD120" s="107"/>
      <c r="AE120" s="107"/>
      <c r="AF120" s="107"/>
      <c r="AG120" s="107"/>
      <c r="AH120" s="107"/>
      <c r="AI120" s="107"/>
      <c r="AJ120" s="108">
        <v>60.18</v>
      </c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6"/>
      <c r="AZ120" s="107"/>
      <c r="BA120" s="107"/>
      <c r="BB120" s="107"/>
      <c r="BC120" s="107">
        <v>235.14843</v>
      </c>
      <c r="BD120" s="107">
        <v>230.60145</v>
      </c>
      <c r="BE120" s="107"/>
      <c r="BF120" s="107"/>
      <c r="BG120" s="107"/>
      <c r="BH120" s="107"/>
      <c r="BI120" s="107"/>
      <c r="BJ120" s="107">
        <v>1558.26995</v>
      </c>
      <c r="BK120" s="107"/>
      <c r="BL120" s="107"/>
      <c r="BM120" s="107"/>
      <c r="BN120" s="107"/>
      <c r="BO120" s="107"/>
      <c r="BP120" s="107"/>
      <c r="BQ120" s="109"/>
      <c r="BR120" s="109"/>
      <c r="BS120" s="109"/>
      <c r="BT120" s="109"/>
      <c r="BU120" s="138"/>
    </row>
    <row r="121" spans="1:73" ht="38.25" customHeight="1" outlineLevel="2">
      <c r="A121" s="24" t="s">
        <v>1348</v>
      </c>
      <c r="B121" s="22" t="s">
        <v>1759</v>
      </c>
      <c r="C121" s="20" t="s">
        <v>587</v>
      </c>
      <c r="D121" s="227" t="s">
        <v>1789</v>
      </c>
      <c r="E121" s="228" t="s">
        <v>1935</v>
      </c>
      <c r="F121" s="108">
        <f t="shared" si="6"/>
        <v>2790</v>
      </c>
      <c r="G121" s="106">
        <f t="shared" si="12"/>
        <v>0</v>
      </c>
      <c r="H121" s="106">
        <f t="shared" si="13"/>
        <v>2790</v>
      </c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08">
        <v>0</v>
      </c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07"/>
      <c r="BK121" s="107"/>
      <c r="BL121" s="107"/>
      <c r="BM121" s="107"/>
      <c r="BN121" s="107"/>
      <c r="BO121" s="107"/>
      <c r="BP121" s="107"/>
      <c r="BQ121" s="109"/>
      <c r="BR121" s="109"/>
      <c r="BS121" s="109"/>
      <c r="BT121" s="109"/>
      <c r="BU121" s="138">
        <v>2790</v>
      </c>
    </row>
    <row r="122" spans="1:73" ht="38.25" customHeight="1" outlineLevel="2">
      <c r="A122" s="24" t="s">
        <v>1348</v>
      </c>
      <c r="B122" s="19" t="s">
        <v>1530</v>
      </c>
      <c r="C122" s="20" t="s">
        <v>587</v>
      </c>
      <c r="D122" s="218" t="s">
        <v>663</v>
      </c>
      <c r="E122" s="220" t="s">
        <v>1936</v>
      </c>
      <c r="F122" s="108">
        <f t="shared" si="6"/>
        <v>722.46406</v>
      </c>
      <c r="G122" s="106">
        <f t="shared" si="12"/>
        <v>235.36434000000003</v>
      </c>
      <c r="H122" s="106">
        <f t="shared" si="13"/>
        <v>487.09972000000005</v>
      </c>
      <c r="I122" s="107"/>
      <c r="J122" s="107"/>
      <c r="K122" s="107"/>
      <c r="L122" s="107"/>
      <c r="M122" s="107"/>
      <c r="N122" s="107"/>
      <c r="O122" s="106"/>
      <c r="P122" s="106"/>
      <c r="Q122" s="106"/>
      <c r="R122" s="106"/>
      <c r="S122" s="106"/>
      <c r="T122" s="106"/>
      <c r="U122" s="106"/>
      <c r="V122" s="106"/>
      <c r="W122" s="106">
        <v>96.93905</v>
      </c>
      <c r="X122" s="106">
        <v>50.60898</v>
      </c>
      <c r="Y122" s="107"/>
      <c r="Z122" s="106"/>
      <c r="AA122" s="159">
        <v>44.35665</v>
      </c>
      <c r="AB122" s="106">
        <v>31.69169</v>
      </c>
      <c r="AC122" s="107"/>
      <c r="AD122" s="107"/>
      <c r="AE122" s="107"/>
      <c r="AF122" s="107"/>
      <c r="AG122" s="107"/>
      <c r="AH122" s="107"/>
      <c r="AI122" s="107"/>
      <c r="AJ122" s="108">
        <v>43.8952</v>
      </c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6"/>
      <c r="AZ122" s="107"/>
      <c r="BA122" s="107">
        <v>223.4225</v>
      </c>
      <c r="BB122" s="107"/>
      <c r="BC122" s="107">
        <v>94.06864</v>
      </c>
      <c r="BD122" s="107">
        <v>92.24759</v>
      </c>
      <c r="BE122" s="107">
        <v>45.23376</v>
      </c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9"/>
      <c r="BR122" s="109"/>
      <c r="BS122" s="109"/>
      <c r="BT122" s="109"/>
      <c r="BU122" s="138"/>
    </row>
    <row r="123" spans="1:73" ht="38.25" customHeight="1" outlineLevel="2">
      <c r="A123" s="24" t="s">
        <v>1348</v>
      </c>
      <c r="B123" s="19" t="s">
        <v>1529</v>
      </c>
      <c r="C123" s="20" t="s">
        <v>587</v>
      </c>
      <c r="D123" s="218" t="s">
        <v>1323</v>
      </c>
      <c r="E123" s="220" t="s">
        <v>1937</v>
      </c>
      <c r="F123" s="108">
        <f t="shared" si="6"/>
        <v>782.51198</v>
      </c>
      <c r="G123" s="106">
        <f t="shared" si="12"/>
        <v>439.41051</v>
      </c>
      <c r="H123" s="106">
        <f t="shared" si="13"/>
        <v>343.10147</v>
      </c>
      <c r="I123" s="107"/>
      <c r="J123" s="107"/>
      <c r="K123" s="107"/>
      <c r="L123" s="107"/>
      <c r="M123" s="107"/>
      <c r="N123" s="107"/>
      <c r="O123" s="106">
        <v>176.42833</v>
      </c>
      <c r="P123" s="106">
        <v>7.20917</v>
      </c>
      <c r="Q123" s="106"/>
      <c r="R123" s="106"/>
      <c r="S123" s="106"/>
      <c r="T123" s="106"/>
      <c r="U123" s="106"/>
      <c r="V123" s="106"/>
      <c r="W123" s="106"/>
      <c r="X123" s="106"/>
      <c r="Y123" s="107">
        <v>15.2</v>
      </c>
      <c r="Z123" s="106">
        <v>39.93</v>
      </c>
      <c r="AA123" s="159">
        <v>62.7015</v>
      </c>
      <c r="AB123" s="106">
        <v>69.32558</v>
      </c>
      <c r="AC123" s="107"/>
      <c r="AD123" s="107"/>
      <c r="AE123" s="107"/>
      <c r="AF123" s="107"/>
      <c r="AG123" s="107"/>
      <c r="AH123" s="107"/>
      <c r="AI123" s="107"/>
      <c r="AJ123" s="108">
        <v>45.135</v>
      </c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6"/>
      <c r="AZ123" s="107"/>
      <c r="BA123" s="107"/>
      <c r="BB123" s="107"/>
      <c r="BC123" s="107">
        <v>185.08068</v>
      </c>
      <c r="BD123" s="107">
        <v>181.50172</v>
      </c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9"/>
      <c r="BR123" s="109"/>
      <c r="BS123" s="109"/>
      <c r="BT123" s="109"/>
      <c r="BU123" s="138"/>
    </row>
    <row r="124" spans="1:73" ht="38.25" customHeight="1" outlineLevel="2">
      <c r="A124" s="24" t="s">
        <v>1348</v>
      </c>
      <c r="B124" s="19" t="s">
        <v>1531</v>
      </c>
      <c r="C124" s="20" t="s">
        <v>587</v>
      </c>
      <c r="D124" s="218" t="s">
        <v>571</v>
      </c>
      <c r="E124" s="220" t="s">
        <v>1938</v>
      </c>
      <c r="F124" s="108">
        <f t="shared" si="6"/>
        <v>398.67089</v>
      </c>
      <c r="G124" s="106">
        <f t="shared" si="12"/>
        <v>129.18325</v>
      </c>
      <c r="H124" s="106">
        <f t="shared" si="13"/>
        <v>269.48764</v>
      </c>
      <c r="I124" s="107"/>
      <c r="J124" s="107"/>
      <c r="K124" s="107"/>
      <c r="L124" s="107"/>
      <c r="M124" s="107"/>
      <c r="N124" s="107"/>
      <c r="O124" s="106">
        <v>8.53186</v>
      </c>
      <c r="P124" s="106">
        <v>0.44905</v>
      </c>
      <c r="Q124" s="106"/>
      <c r="R124" s="106"/>
      <c r="S124" s="106"/>
      <c r="T124" s="106"/>
      <c r="U124" s="106"/>
      <c r="V124" s="106"/>
      <c r="W124" s="106"/>
      <c r="X124" s="106"/>
      <c r="Y124" s="107"/>
      <c r="Z124" s="106"/>
      <c r="AA124" s="106">
        <v>51.18641</v>
      </c>
      <c r="AB124" s="106">
        <v>35.25701</v>
      </c>
      <c r="AC124" s="107"/>
      <c r="AD124" s="107"/>
      <c r="AE124" s="107"/>
      <c r="AF124" s="107"/>
      <c r="AG124" s="107"/>
      <c r="AH124" s="107"/>
      <c r="AI124" s="107"/>
      <c r="AJ124" s="108">
        <v>15.045</v>
      </c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6"/>
      <c r="AZ124" s="107"/>
      <c r="BA124" s="107"/>
      <c r="BB124" s="107"/>
      <c r="BC124" s="107">
        <v>69.46498</v>
      </c>
      <c r="BD124" s="107">
        <v>68.12212</v>
      </c>
      <c r="BE124" s="107"/>
      <c r="BF124" s="107"/>
      <c r="BG124" s="107"/>
      <c r="BH124" s="107"/>
      <c r="BI124" s="107"/>
      <c r="BJ124" s="107">
        <v>150.61446</v>
      </c>
      <c r="BK124" s="107"/>
      <c r="BL124" s="107"/>
      <c r="BM124" s="107"/>
      <c r="BN124" s="107"/>
      <c r="BO124" s="107"/>
      <c r="BP124" s="107"/>
      <c r="BQ124" s="109"/>
      <c r="BR124" s="109"/>
      <c r="BS124" s="109"/>
      <c r="BT124" s="109"/>
      <c r="BU124" s="138"/>
    </row>
    <row r="125" spans="1:73" ht="38.25" customHeight="1" outlineLevel="2">
      <c r="A125" s="24" t="s">
        <v>1348</v>
      </c>
      <c r="B125" s="22" t="s">
        <v>1272</v>
      </c>
      <c r="C125" s="20" t="s">
        <v>587</v>
      </c>
      <c r="D125" s="218" t="s">
        <v>376</v>
      </c>
      <c r="E125" s="220" t="s">
        <v>1939</v>
      </c>
      <c r="F125" s="108">
        <f t="shared" si="6"/>
        <v>141.99129</v>
      </c>
      <c r="G125" s="106">
        <f t="shared" si="12"/>
        <v>75.16908000000001</v>
      </c>
      <c r="H125" s="106">
        <f t="shared" si="13"/>
        <v>66.82221</v>
      </c>
      <c r="I125" s="107"/>
      <c r="J125" s="107"/>
      <c r="K125" s="107"/>
      <c r="L125" s="107"/>
      <c r="M125" s="107"/>
      <c r="N125" s="107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7"/>
      <c r="Z125" s="106"/>
      <c r="AA125" s="159">
        <v>27.22679</v>
      </c>
      <c r="AB125" s="106">
        <v>19.80731</v>
      </c>
      <c r="AC125" s="107"/>
      <c r="AD125" s="107"/>
      <c r="AE125" s="107"/>
      <c r="AF125" s="107"/>
      <c r="AG125" s="107"/>
      <c r="AH125" s="107"/>
      <c r="AI125" s="107"/>
      <c r="AJ125" s="108">
        <v>0</v>
      </c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6"/>
      <c r="AZ125" s="107"/>
      <c r="BA125" s="107"/>
      <c r="BB125" s="107"/>
      <c r="BC125" s="107">
        <v>47.94229</v>
      </c>
      <c r="BD125" s="107">
        <v>47.0149</v>
      </c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9"/>
      <c r="BR125" s="109"/>
      <c r="BS125" s="109"/>
      <c r="BT125" s="109"/>
      <c r="BU125" s="138"/>
    </row>
    <row r="126" spans="1:73" ht="38.25" customHeight="1" outlineLevel="2">
      <c r="A126" s="24" t="s">
        <v>1348</v>
      </c>
      <c r="B126" s="22" t="s">
        <v>1097</v>
      </c>
      <c r="C126" s="20" t="s">
        <v>587</v>
      </c>
      <c r="D126" s="218" t="s">
        <v>929</v>
      </c>
      <c r="E126" s="220" t="s">
        <v>1940</v>
      </c>
      <c r="F126" s="108">
        <f t="shared" si="6"/>
        <v>24.52003</v>
      </c>
      <c r="G126" s="106">
        <f t="shared" si="12"/>
        <v>12.37979</v>
      </c>
      <c r="H126" s="106">
        <f t="shared" si="13"/>
        <v>12.14024</v>
      </c>
      <c r="I126" s="107"/>
      <c r="J126" s="107"/>
      <c r="K126" s="107"/>
      <c r="L126" s="107"/>
      <c r="M126" s="107"/>
      <c r="N126" s="107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7"/>
      <c r="Z126" s="106"/>
      <c r="AA126" s="159"/>
      <c r="AB126" s="106"/>
      <c r="AC126" s="107"/>
      <c r="AD126" s="107"/>
      <c r="AE126" s="107"/>
      <c r="AF126" s="107"/>
      <c r="AG126" s="107"/>
      <c r="AH126" s="107"/>
      <c r="AI126" s="107"/>
      <c r="AJ126" s="108">
        <v>0</v>
      </c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6"/>
      <c r="AZ126" s="107"/>
      <c r="BA126" s="107"/>
      <c r="BB126" s="107"/>
      <c r="BC126" s="107">
        <v>12.37979</v>
      </c>
      <c r="BD126" s="107">
        <v>12.14024</v>
      </c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9"/>
      <c r="BR126" s="109"/>
      <c r="BS126" s="109"/>
      <c r="BT126" s="109"/>
      <c r="BU126" s="138"/>
    </row>
    <row r="127" spans="1:73" ht="32.25" customHeight="1" outlineLevel="2">
      <c r="A127" s="24" t="s">
        <v>1348</v>
      </c>
      <c r="B127" s="19" t="s">
        <v>1151</v>
      </c>
      <c r="C127" s="20" t="s">
        <v>934</v>
      </c>
      <c r="D127" s="218" t="s">
        <v>1596</v>
      </c>
      <c r="E127" s="203" t="s">
        <v>1966</v>
      </c>
      <c r="F127" s="108">
        <f aca="true" t="shared" si="14" ref="F127:F178">G127+H127</f>
        <v>271.61016</v>
      </c>
      <c r="G127" s="106">
        <f t="shared" si="12"/>
        <v>0</v>
      </c>
      <c r="H127" s="106">
        <f t="shared" si="13"/>
        <v>271.61016</v>
      </c>
      <c r="I127" s="107"/>
      <c r="J127" s="107"/>
      <c r="K127" s="107"/>
      <c r="L127" s="107"/>
      <c r="M127" s="107"/>
      <c r="N127" s="107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7"/>
      <c r="Z127" s="106"/>
      <c r="AA127" s="106"/>
      <c r="AB127" s="106"/>
      <c r="AC127" s="107"/>
      <c r="AD127" s="107"/>
      <c r="AE127" s="107"/>
      <c r="AF127" s="107"/>
      <c r="AG127" s="107"/>
      <c r="AH127" s="107"/>
      <c r="AI127" s="107"/>
      <c r="AJ127" s="108">
        <v>0</v>
      </c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6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>
        <v>271.61016</v>
      </c>
      <c r="BK127" s="107"/>
      <c r="BL127" s="107"/>
      <c r="BM127" s="107"/>
      <c r="BN127" s="107"/>
      <c r="BO127" s="107"/>
      <c r="BP127" s="107"/>
      <c r="BQ127" s="109"/>
      <c r="BR127" s="109"/>
      <c r="BS127" s="109"/>
      <c r="BT127" s="109"/>
      <c r="BU127" s="138"/>
    </row>
    <row r="128" spans="1:73" ht="25.5" customHeight="1" outlineLevel="2">
      <c r="A128" s="24" t="s">
        <v>1348</v>
      </c>
      <c r="B128" s="19" t="s">
        <v>1416</v>
      </c>
      <c r="C128" s="20" t="s">
        <v>934</v>
      </c>
      <c r="D128" s="218" t="s">
        <v>1139</v>
      </c>
      <c r="E128" s="203" t="s">
        <v>1967</v>
      </c>
      <c r="F128" s="108">
        <f t="shared" si="14"/>
        <v>29.074740000000002</v>
      </c>
      <c r="G128" s="106">
        <f t="shared" si="12"/>
        <v>27.92987</v>
      </c>
      <c r="H128" s="106">
        <f t="shared" si="13"/>
        <v>1.14487</v>
      </c>
      <c r="I128" s="107"/>
      <c r="J128" s="107"/>
      <c r="K128" s="107"/>
      <c r="L128" s="107"/>
      <c r="M128" s="107"/>
      <c r="N128" s="107"/>
      <c r="O128" s="106">
        <v>27.92987</v>
      </c>
      <c r="P128" s="106">
        <v>1.14487</v>
      </c>
      <c r="Q128" s="106"/>
      <c r="R128" s="106"/>
      <c r="S128" s="106"/>
      <c r="T128" s="106"/>
      <c r="U128" s="106"/>
      <c r="V128" s="106"/>
      <c r="W128" s="106"/>
      <c r="X128" s="106"/>
      <c r="Y128" s="107"/>
      <c r="Z128" s="106"/>
      <c r="AA128" s="106"/>
      <c r="AB128" s="106"/>
      <c r="AC128" s="107"/>
      <c r="AD128" s="107"/>
      <c r="AE128" s="107"/>
      <c r="AF128" s="107"/>
      <c r="AG128" s="107"/>
      <c r="AH128" s="107"/>
      <c r="AI128" s="107"/>
      <c r="AJ128" s="108">
        <v>0</v>
      </c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6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9"/>
      <c r="BR128" s="109"/>
      <c r="BS128" s="109"/>
      <c r="BT128" s="109"/>
      <c r="BU128" s="138"/>
    </row>
    <row r="129" spans="1:73" ht="36" customHeight="1" outlineLevel="2">
      <c r="A129" s="24" t="s">
        <v>1348</v>
      </c>
      <c r="B129" s="19" t="s">
        <v>551</v>
      </c>
      <c r="C129" s="20" t="s">
        <v>1338</v>
      </c>
      <c r="D129" s="229" t="s">
        <v>1969</v>
      </c>
      <c r="E129" s="203" t="s">
        <v>1968</v>
      </c>
      <c r="F129" s="108">
        <f t="shared" si="14"/>
        <v>60.89967</v>
      </c>
      <c r="G129" s="106">
        <f t="shared" si="12"/>
        <v>0</v>
      </c>
      <c r="H129" s="106">
        <f t="shared" si="13"/>
        <v>60.89967</v>
      </c>
      <c r="I129" s="107"/>
      <c r="J129" s="107"/>
      <c r="K129" s="107"/>
      <c r="L129" s="107"/>
      <c r="M129" s="107"/>
      <c r="N129" s="107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7"/>
      <c r="Z129" s="106"/>
      <c r="AA129" s="106"/>
      <c r="AB129" s="106"/>
      <c r="AC129" s="107"/>
      <c r="AD129" s="107"/>
      <c r="AE129" s="107"/>
      <c r="AF129" s="107"/>
      <c r="AG129" s="107"/>
      <c r="AH129" s="107"/>
      <c r="AI129" s="107"/>
      <c r="AJ129" s="108">
        <v>0</v>
      </c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6"/>
      <c r="AZ129" s="107"/>
      <c r="BA129" s="107">
        <v>60.89967</v>
      </c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9"/>
      <c r="BR129" s="109"/>
      <c r="BS129" s="109"/>
      <c r="BT129" s="109"/>
      <c r="BU129" s="138"/>
    </row>
    <row r="130" spans="1:73" ht="37.5" customHeight="1" outlineLevel="2" thickBot="1">
      <c r="A130" s="2" t="s">
        <v>1348</v>
      </c>
      <c r="B130" s="33" t="s">
        <v>367</v>
      </c>
      <c r="C130" s="4" t="s">
        <v>1422</v>
      </c>
      <c r="D130" s="230" t="s">
        <v>1115</v>
      </c>
      <c r="E130" s="203" t="s">
        <v>1960</v>
      </c>
      <c r="F130" s="108">
        <f t="shared" si="14"/>
        <v>13.443</v>
      </c>
      <c r="G130" s="106">
        <f t="shared" si="12"/>
        <v>0</v>
      </c>
      <c r="H130" s="106">
        <f t="shared" si="13"/>
        <v>13.443</v>
      </c>
      <c r="I130" s="119"/>
      <c r="J130" s="119"/>
      <c r="K130" s="119"/>
      <c r="L130" s="119"/>
      <c r="M130" s="119"/>
      <c r="N130" s="119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19"/>
      <c r="Z130" s="120"/>
      <c r="AA130" s="120"/>
      <c r="AB130" s="120"/>
      <c r="AC130" s="119"/>
      <c r="AD130" s="119"/>
      <c r="AE130" s="119"/>
      <c r="AF130" s="119"/>
      <c r="AG130" s="119"/>
      <c r="AH130" s="119"/>
      <c r="AI130" s="119"/>
      <c r="AJ130" s="108">
        <v>13.443</v>
      </c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20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21"/>
      <c r="BR130" s="121"/>
      <c r="BS130" s="121"/>
      <c r="BT130" s="121"/>
      <c r="BU130" s="140"/>
    </row>
    <row r="131" spans="1:73" s="32" customFormat="1" ht="21" outlineLevel="1" thickBot="1">
      <c r="A131" s="43" t="s">
        <v>46</v>
      </c>
      <c r="B131" s="44"/>
      <c r="C131" s="30" t="s">
        <v>1572</v>
      </c>
      <c r="D131" s="222"/>
      <c r="E131" s="223"/>
      <c r="F131" s="117">
        <f aca="true" t="shared" si="15" ref="F131:AL131">SUBTOTAL(9,F93:F130)</f>
        <v>143713.95866000006</v>
      </c>
      <c r="G131" s="117">
        <f t="shared" si="15"/>
        <v>58675.710499999994</v>
      </c>
      <c r="H131" s="117">
        <f t="shared" si="15"/>
        <v>85038.24816</v>
      </c>
      <c r="I131" s="117">
        <f t="shared" si="15"/>
        <v>0</v>
      </c>
      <c r="J131" s="117">
        <f t="shared" si="15"/>
        <v>0</v>
      </c>
      <c r="K131" s="117">
        <f t="shared" si="15"/>
        <v>14248.225740000003</v>
      </c>
      <c r="L131" s="117">
        <f t="shared" si="15"/>
        <v>3078.6144699999995</v>
      </c>
      <c r="M131" s="117">
        <f t="shared" si="15"/>
        <v>348.16493</v>
      </c>
      <c r="N131" s="117">
        <f t="shared" si="15"/>
        <v>0</v>
      </c>
      <c r="O131" s="117">
        <f t="shared" si="15"/>
        <v>351.1715</v>
      </c>
      <c r="P131" s="117">
        <f t="shared" si="15"/>
        <v>14.96772</v>
      </c>
      <c r="Q131" s="117">
        <f t="shared" si="15"/>
        <v>0</v>
      </c>
      <c r="R131" s="117">
        <f t="shared" si="15"/>
        <v>0</v>
      </c>
      <c r="S131" s="117">
        <f t="shared" si="15"/>
        <v>875.82227</v>
      </c>
      <c r="T131" s="117">
        <f t="shared" si="15"/>
        <v>319.47468000000003</v>
      </c>
      <c r="U131" s="117">
        <f t="shared" si="15"/>
        <v>0</v>
      </c>
      <c r="V131" s="117">
        <f t="shared" si="15"/>
        <v>0</v>
      </c>
      <c r="W131" s="117">
        <f t="shared" si="15"/>
        <v>6441.29668</v>
      </c>
      <c r="X131" s="117">
        <f t="shared" si="15"/>
        <v>3362.8078700000005</v>
      </c>
      <c r="Y131" s="117">
        <f t="shared" si="15"/>
        <v>350.69823999999994</v>
      </c>
      <c r="Z131" s="117">
        <f t="shared" si="15"/>
        <v>935.0756999999999</v>
      </c>
      <c r="AA131" s="117">
        <f t="shared" si="15"/>
        <v>8207.372379999999</v>
      </c>
      <c r="AB131" s="117">
        <f t="shared" si="15"/>
        <v>4633.721849999999</v>
      </c>
      <c r="AC131" s="117">
        <f t="shared" si="15"/>
        <v>873.88789</v>
      </c>
      <c r="AD131" s="117">
        <f t="shared" si="15"/>
        <v>456.23067</v>
      </c>
      <c r="AE131" s="117">
        <f t="shared" si="15"/>
        <v>0</v>
      </c>
      <c r="AF131" s="117">
        <f t="shared" si="15"/>
        <v>0</v>
      </c>
      <c r="AG131" s="117">
        <f t="shared" si="15"/>
        <v>0</v>
      </c>
      <c r="AH131" s="117">
        <f t="shared" si="15"/>
        <v>0</v>
      </c>
      <c r="AI131" s="117">
        <f t="shared" si="15"/>
        <v>0</v>
      </c>
      <c r="AJ131" s="117">
        <f>SUBTOTAL(9,AJ93:AJ130)</f>
        <v>6173.822280000002</v>
      </c>
      <c r="AK131" s="117">
        <f t="shared" si="15"/>
        <v>23.5959</v>
      </c>
      <c r="AL131" s="117">
        <f t="shared" si="15"/>
        <v>0</v>
      </c>
      <c r="AM131" s="117">
        <f aca="true" t="shared" si="16" ref="AM131:BJ131">SUBTOTAL(9,AM93:AM130)</f>
        <v>0</v>
      </c>
      <c r="AN131" s="117">
        <f t="shared" si="16"/>
        <v>160.8299</v>
      </c>
      <c r="AO131" s="117">
        <f t="shared" si="16"/>
        <v>0</v>
      </c>
      <c r="AP131" s="117">
        <f t="shared" si="16"/>
        <v>0</v>
      </c>
      <c r="AQ131" s="117">
        <f t="shared" si="16"/>
        <v>0</v>
      </c>
      <c r="AR131" s="117">
        <f t="shared" si="16"/>
        <v>0</v>
      </c>
      <c r="AS131" s="117">
        <f t="shared" si="16"/>
        <v>0</v>
      </c>
      <c r="AT131" s="117">
        <f t="shared" si="16"/>
        <v>0</v>
      </c>
      <c r="AU131" s="117">
        <f t="shared" si="16"/>
        <v>0</v>
      </c>
      <c r="AV131" s="117">
        <f t="shared" si="16"/>
        <v>216.32</v>
      </c>
      <c r="AW131" s="117">
        <f t="shared" si="16"/>
        <v>0</v>
      </c>
      <c r="AX131" s="117">
        <f t="shared" si="16"/>
        <v>8393.700760000002</v>
      </c>
      <c r="AY131" s="117">
        <f t="shared" si="16"/>
        <v>4717.913869999999</v>
      </c>
      <c r="AZ131" s="117">
        <f t="shared" si="16"/>
        <v>91.08</v>
      </c>
      <c r="BA131" s="117">
        <f t="shared" si="16"/>
        <v>4983.11276</v>
      </c>
      <c r="BB131" s="117">
        <f t="shared" si="16"/>
        <v>0</v>
      </c>
      <c r="BC131" s="117">
        <f t="shared" si="16"/>
        <v>18933.53504</v>
      </c>
      <c r="BD131" s="117">
        <f t="shared" si="16"/>
        <v>18567.627060000003</v>
      </c>
      <c r="BE131" s="117">
        <f t="shared" si="16"/>
        <v>363.10132000000004</v>
      </c>
      <c r="BF131" s="117">
        <f t="shared" si="16"/>
        <v>0</v>
      </c>
      <c r="BG131" s="117">
        <f t="shared" si="16"/>
        <v>0</v>
      </c>
      <c r="BH131" s="117">
        <f t="shared" si="16"/>
        <v>0</v>
      </c>
      <c r="BI131" s="117">
        <f t="shared" si="16"/>
        <v>0</v>
      </c>
      <c r="BJ131" s="117">
        <f t="shared" si="16"/>
        <v>33099.95373</v>
      </c>
      <c r="BK131" s="117"/>
      <c r="BL131" s="117">
        <f aca="true" t="shared" si="17" ref="BL131:BU131">SUBTOTAL(9,BL93:BL130)</f>
        <v>0</v>
      </c>
      <c r="BM131" s="117">
        <f t="shared" si="17"/>
        <v>701.8334500000001</v>
      </c>
      <c r="BN131" s="117">
        <f t="shared" si="17"/>
        <v>0</v>
      </c>
      <c r="BO131" s="117">
        <f t="shared" si="17"/>
        <v>0</v>
      </c>
      <c r="BP131" s="117">
        <f t="shared" si="17"/>
        <v>0</v>
      </c>
      <c r="BQ131" s="117">
        <f t="shared" si="17"/>
        <v>0</v>
      </c>
      <c r="BR131" s="117">
        <f t="shared" si="17"/>
        <v>0</v>
      </c>
      <c r="BS131" s="117">
        <f t="shared" si="17"/>
        <v>0</v>
      </c>
      <c r="BT131" s="117">
        <f t="shared" si="17"/>
        <v>0</v>
      </c>
      <c r="BU131" s="117">
        <f t="shared" si="17"/>
        <v>2790</v>
      </c>
    </row>
    <row r="132" spans="1:73" ht="48" customHeight="1" outlineLevel="2">
      <c r="A132" s="35" t="s">
        <v>47</v>
      </c>
      <c r="B132" s="45" t="s">
        <v>944</v>
      </c>
      <c r="C132" s="20" t="s">
        <v>1496</v>
      </c>
      <c r="D132" s="218" t="s">
        <v>1406</v>
      </c>
      <c r="E132" s="203" t="s">
        <v>2779</v>
      </c>
      <c r="F132" s="108">
        <f t="shared" si="14"/>
        <v>960.22103</v>
      </c>
      <c r="G132" s="106">
        <f>I132+K132+O132+S132+U132+W132+Y132+AA132+AC132+AE132+AR132+AX132+BC132+BG132+BP132+BR132+BT132+AO132</f>
        <v>89.87702</v>
      </c>
      <c r="H132" s="106">
        <f>J132+L132+M132+N132+P132+Q132+R132+T132+V132+X132+Z132+AB132+AD132+AF132+AG132+AJ132+AL132+AS132+AT132+AU132+AV132+AW132+AY132+AZ132+BA132+BB132+BD132+BE132+BF132+BH132+BI132+BJ132+BL132+BM132+BN132+BO132+BQ132+BS132+BU132+AH132+AI132+AK132+AM132+AN132+AP132+AQ132+BK132</f>
        <v>870.34401</v>
      </c>
      <c r="I132" s="107"/>
      <c r="J132" s="107"/>
      <c r="K132" s="107"/>
      <c r="L132" s="107"/>
      <c r="M132" s="107"/>
      <c r="N132" s="107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7"/>
      <c r="Z132" s="106"/>
      <c r="AA132" s="106"/>
      <c r="AB132" s="106"/>
      <c r="AC132" s="107"/>
      <c r="AD132" s="107"/>
      <c r="AE132" s="107"/>
      <c r="AF132" s="107"/>
      <c r="AG132" s="107"/>
      <c r="AH132" s="107"/>
      <c r="AI132" s="107"/>
      <c r="AJ132" s="108">
        <v>0</v>
      </c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6"/>
      <c r="AZ132" s="107"/>
      <c r="BA132" s="107">
        <v>198.443</v>
      </c>
      <c r="BB132" s="107"/>
      <c r="BC132" s="107">
        <v>89.87702</v>
      </c>
      <c r="BD132" s="107">
        <v>88.93256</v>
      </c>
      <c r="BE132" s="107"/>
      <c r="BF132" s="107"/>
      <c r="BG132" s="107"/>
      <c r="BH132" s="107"/>
      <c r="BI132" s="107"/>
      <c r="BJ132" s="107"/>
      <c r="BK132" s="107"/>
      <c r="BL132" s="107"/>
      <c r="BM132" s="107">
        <v>582.96845</v>
      </c>
      <c r="BN132" s="107"/>
      <c r="BO132" s="107"/>
      <c r="BP132" s="107"/>
      <c r="BQ132" s="109"/>
      <c r="BR132" s="109"/>
      <c r="BS132" s="109"/>
      <c r="BT132" s="109"/>
      <c r="BU132" s="138"/>
    </row>
    <row r="133" spans="1:73" ht="42.75" customHeight="1" outlineLevel="2">
      <c r="A133" s="35" t="s">
        <v>47</v>
      </c>
      <c r="B133" s="37" t="s">
        <v>772</v>
      </c>
      <c r="C133" s="20" t="s">
        <v>1496</v>
      </c>
      <c r="D133" s="218" t="s">
        <v>377</v>
      </c>
      <c r="E133" s="203" t="s">
        <v>2777</v>
      </c>
      <c r="F133" s="108">
        <f t="shared" si="14"/>
        <v>1883.39688</v>
      </c>
      <c r="G133" s="106">
        <f aca="true" t="shared" si="18" ref="G133:G178">I133+K133+O133+S133+U133+W133+Y133+AA133+AC133+AE133+AR133+AX133+BC133+BG133+BP133+BR133+BT133+AO133</f>
        <v>671.8258900000001</v>
      </c>
      <c r="H133" s="106">
        <f aca="true" t="shared" si="19" ref="H133:H178">J133+L133+M133+N133+P133+Q133+R133+T133+V133+X133+Z133+AB133+AD133+AF133+AG133+AJ133+AL133+AS133+AT133+AU133+AV133+AW133+AY133+AZ133+BA133+BB133+BD133+BE133+BF133+BH133+BI133+BJ133+BL133+BM133+BN133+BO133+BQ133+BS133+BU133+AH133+AI133+AK133+AM133+AN133+AP133+AQ133+BK133</f>
        <v>1211.57099</v>
      </c>
      <c r="I133" s="107"/>
      <c r="J133" s="107"/>
      <c r="K133" s="107"/>
      <c r="L133" s="107"/>
      <c r="M133" s="107"/>
      <c r="N133" s="107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7"/>
      <c r="Z133" s="107"/>
      <c r="AA133" s="159">
        <v>248.0575</v>
      </c>
      <c r="AB133" s="106">
        <v>99.03655</v>
      </c>
      <c r="AC133" s="107"/>
      <c r="AD133" s="107"/>
      <c r="AE133" s="107"/>
      <c r="AF133" s="107"/>
      <c r="AG133" s="107"/>
      <c r="AH133" s="107"/>
      <c r="AI133" s="107"/>
      <c r="AJ133" s="108">
        <v>82.88635</v>
      </c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6"/>
      <c r="AZ133" s="107"/>
      <c r="BA133" s="107">
        <f>161.1939+34.12325</f>
        <v>195.31715000000003</v>
      </c>
      <c r="BB133" s="107"/>
      <c r="BC133" s="107">
        <v>423.76839</v>
      </c>
      <c r="BD133" s="107">
        <v>418.34194</v>
      </c>
      <c r="BE133" s="107"/>
      <c r="BF133" s="107"/>
      <c r="BG133" s="107"/>
      <c r="BH133" s="107"/>
      <c r="BI133" s="107"/>
      <c r="BJ133" s="107"/>
      <c r="BK133" s="107"/>
      <c r="BL133" s="107"/>
      <c r="BM133" s="107">
        <v>415.989</v>
      </c>
      <c r="BN133" s="107"/>
      <c r="BO133" s="107"/>
      <c r="BP133" s="107"/>
      <c r="BQ133" s="109"/>
      <c r="BR133" s="109"/>
      <c r="BS133" s="109"/>
      <c r="BT133" s="109"/>
      <c r="BU133" s="138"/>
    </row>
    <row r="134" spans="1:73" ht="35.25" customHeight="1" outlineLevel="2">
      <c r="A134" s="35" t="s">
        <v>47</v>
      </c>
      <c r="B134" s="45" t="s">
        <v>960</v>
      </c>
      <c r="C134" s="20" t="s">
        <v>1496</v>
      </c>
      <c r="D134" s="218" t="s">
        <v>113</v>
      </c>
      <c r="E134" s="203" t="s">
        <v>2778</v>
      </c>
      <c r="F134" s="108">
        <f t="shared" si="14"/>
        <v>340.37613999999996</v>
      </c>
      <c r="G134" s="106">
        <f t="shared" si="18"/>
        <v>170.25503</v>
      </c>
      <c r="H134" s="106">
        <f t="shared" si="19"/>
        <v>170.12111</v>
      </c>
      <c r="I134" s="107"/>
      <c r="J134" s="107"/>
      <c r="K134" s="107"/>
      <c r="L134" s="107"/>
      <c r="M134" s="107"/>
      <c r="N134" s="107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7"/>
      <c r="Z134" s="106"/>
      <c r="AA134" s="106"/>
      <c r="AB134" s="106"/>
      <c r="AC134" s="107"/>
      <c r="AD134" s="107"/>
      <c r="AE134" s="107"/>
      <c r="AF134" s="107"/>
      <c r="AG134" s="107"/>
      <c r="AH134" s="107"/>
      <c r="AI134" s="107"/>
      <c r="AJ134" s="108">
        <v>0</v>
      </c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6"/>
      <c r="AZ134" s="107"/>
      <c r="BA134" s="107"/>
      <c r="BB134" s="107"/>
      <c r="BC134" s="107">
        <v>170.25503</v>
      </c>
      <c r="BD134" s="107">
        <v>170.12111</v>
      </c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9"/>
      <c r="BR134" s="109"/>
      <c r="BS134" s="109"/>
      <c r="BT134" s="109"/>
      <c r="BU134" s="138"/>
    </row>
    <row r="135" spans="1:73" ht="37.5" customHeight="1" outlineLevel="2">
      <c r="A135" s="35" t="s">
        <v>47</v>
      </c>
      <c r="B135" s="37" t="s">
        <v>601</v>
      </c>
      <c r="C135" s="20" t="s">
        <v>1496</v>
      </c>
      <c r="D135" s="218" t="s">
        <v>602</v>
      </c>
      <c r="E135" s="203" t="s">
        <v>2776</v>
      </c>
      <c r="F135" s="108">
        <f t="shared" si="14"/>
        <v>1696.0367199999998</v>
      </c>
      <c r="G135" s="106">
        <f t="shared" si="18"/>
        <v>243.32352999999998</v>
      </c>
      <c r="H135" s="106">
        <f t="shared" si="19"/>
        <v>1452.71319</v>
      </c>
      <c r="I135" s="107"/>
      <c r="J135" s="107"/>
      <c r="K135" s="107"/>
      <c r="L135" s="107"/>
      <c r="M135" s="107"/>
      <c r="N135" s="107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7"/>
      <c r="Z135" s="106"/>
      <c r="AA135" s="159">
        <v>20.58091</v>
      </c>
      <c r="AB135" s="106">
        <v>15.05355</v>
      </c>
      <c r="AC135" s="107"/>
      <c r="AD135" s="107"/>
      <c r="AE135" s="107"/>
      <c r="AF135" s="107"/>
      <c r="AG135" s="107"/>
      <c r="AH135" s="107"/>
      <c r="AI135" s="107"/>
      <c r="AJ135" s="108">
        <v>33.503</v>
      </c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6"/>
      <c r="AZ135" s="107"/>
      <c r="BA135" s="107">
        <v>967.68122</v>
      </c>
      <c r="BB135" s="107"/>
      <c r="BC135" s="107">
        <v>222.74262</v>
      </c>
      <c r="BD135" s="107">
        <v>220.10012</v>
      </c>
      <c r="BE135" s="107"/>
      <c r="BF135" s="107"/>
      <c r="BG135" s="107"/>
      <c r="BH135" s="107"/>
      <c r="BI135" s="107"/>
      <c r="BJ135" s="107">
        <v>31.45938</v>
      </c>
      <c r="BK135" s="107"/>
      <c r="BL135" s="107"/>
      <c r="BM135" s="107">
        <v>184.91592</v>
      </c>
      <c r="BN135" s="107"/>
      <c r="BO135" s="107"/>
      <c r="BP135" s="107"/>
      <c r="BQ135" s="109"/>
      <c r="BR135" s="109"/>
      <c r="BS135" s="109"/>
      <c r="BT135" s="109"/>
      <c r="BU135" s="138"/>
    </row>
    <row r="136" spans="1:73" ht="38.25" customHeight="1" outlineLevel="2">
      <c r="A136" s="35" t="s">
        <v>47</v>
      </c>
      <c r="B136" s="37" t="s">
        <v>520</v>
      </c>
      <c r="C136" s="20" t="s">
        <v>1496</v>
      </c>
      <c r="D136" s="218" t="s">
        <v>521</v>
      </c>
      <c r="E136" s="203" t="s">
        <v>2005</v>
      </c>
      <c r="F136" s="108">
        <f t="shared" si="14"/>
        <v>258.56848</v>
      </c>
      <c r="G136" s="106">
        <f t="shared" si="18"/>
        <v>110.23916</v>
      </c>
      <c r="H136" s="106">
        <f t="shared" si="19"/>
        <v>148.32932</v>
      </c>
      <c r="I136" s="107"/>
      <c r="J136" s="107"/>
      <c r="K136" s="107"/>
      <c r="L136" s="107"/>
      <c r="M136" s="107"/>
      <c r="N136" s="107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7"/>
      <c r="Z136" s="106">
        <v>62.09115</v>
      </c>
      <c r="AA136" s="159">
        <v>43.26123</v>
      </c>
      <c r="AB136" s="106">
        <v>19.80731</v>
      </c>
      <c r="AC136" s="107"/>
      <c r="AD136" s="107"/>
      <c r="AE136" s="107"/>
      <c r="AF136" s="107"/>
      <c r="AG136" s="107"/>
      <c r="AH136" s="107"/>
      <c r="AI136" s="107"/>
      <c r="AJ136" s="108">
        <v>0</v>
      </c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6"/>
      <c r="AZ136" s="107"/>
      <c r="BA136" s="107"/>
      <c r="BB136" s="107"/>
      <c r="BC136" s="107">
        <v>66.97793</v>
      </c>
      <c r="BD136" s="107">
        <v>66.43086</v>
      </c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9"/>
      <c r="BR136" s="109"/>
      <c r="BS136" s="109"/>
      <c r="BT136" s="109"/>
      <c r="BU136" s="138"/>
    </row>
    <row r="137" spans="1:73" ht="38.25" customHeight="1" outlineLevel="2">
      <c r="A137" s="35" t="s">
        <v>47</v>
      </c>
      <c r="B137" s="37" t="s">
        <v>1423</v>
      </c>
      <c r="C137" s="20" t="s">
        <v>1496</v>
      </c>
      <c r="D137" s="218" t="s">
        <v>1424</v>
      </c>
      <c r="E137" s="203" t="s">
        <v>2774</v>
      </c>
      <c r="F137" s="108">
        <f t="shared" si="14"/>
        <v>5375.40752</v>
      </c>
      <c r="G137" s="106">
        <f t="shared" si="18"/>
        <v>223.83418</v>
      </c>
      <c r="H137" s="106">
        <f t="shared" si="19"/>
        <v>5151.57334</v>
      </c>
      <c r="I137" s="107"/>
      <c r="J137" s="107"/>
      <c r="K137" s="107"/>
      <c r="L137" s="107"/>
      <c r="M137" s="107"/>
      <c r="N137" s="107"/>
      <c r="O137" s="106"/>
      <c r="P137" s="106"/>
      <c r="Q137" s="106">
        <v>121.19851</v>
      </c>
      <c r="R137" s="106"/>
      <c r="S137" s="106"/>
      <c r="T137" s="106"/>
      <c r="U137" s="106"/>
      <c r="V137" s="106"/>
      <c r="W137" s="106"/>
      <c r="X137" s="106"/>
      <c r="Y137" s="107"/>
      <c r="Z137" s="106">
        <v>53.8983</v>
      </c>
      <c r="AA137" s="106"/>
      <c r="AB137" s="106"/>
      <c r="AC137" s="107"/>
      <c r="AD137" s="107"/>
      <c r="AE137" s="107"/>
      <c r="AF137" s="107"/>
      <c r="AG137" s="107"/>
      <c r="AH137" s="107"/>
      <c r="AI137" s="107"/>
      <c r="AJ137" s="108">
        <v>0</v>
      </c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6"/>
      <c r="AZ137" s="107"/>
      <c r="BA137" s="107">
        <f>2530.32465+1965.69245</f>
        <v>4496.0171</v>
      </c>
      <c r="BB137" s="107"/>
      <c r="BC137" s="107">
        <v>223.83418</v>
      </c>
      <c r="BD137" s="107">
        <v>222.11629</v>
      </c>
      <c r="BE137" s="107"/>
      <c r="BF137" s="107"/>
      <c r="BG137" s="107"/>
      <c r="BH137" s="107"/>
      <c r="BI137" s="107"/>
      <c r="BJ137" s="107"/>
      <c r="BK137" s="107"/>
      <c r="BL137" s="107"/>
      <c r="BM137" s="107">
        <v>258.34314</v>
      </c>
      <c r="BN137" s="107"/>
      <c r="BO137" s="107"/>
      <c r="BP137" s="107"/>
      <c r="BQ137" s="109"/>
      <c r="BR137" s="109"/>
      <c r="BS137" s="109"/>
      <c r="BT137" s="109"/>
      <c r="BU137" s="138"/>
    </row>
    <row r="138" spans="1:73" ht="33" customHeight="1" outlineLevel="2">
      <c r="A138" s="35" t="s">
        <v>47</v>
      </c>
      <c r="B138" s="37" t="s">
        <v>1610</v>
      </c>
      <c r="C138" s="20" t="s">
        <v>1496</v>
      </c>
      <c r="D138" s="218" t="s">
        <v>1660</v>
      </c>
      <c r="E138" s="203" t="s">
        <v>2783</v>
      </c>
      <c r="F138" s="108">
        <f t="shared" si="14"/>
        <v>331.48471</v>
      </c>
      <c r="G138" s="106">
        <f t="shared" si="18"/>
        <v>167.34835</v>
      </c>
      <c r="H138" s="106">
        <f t="shared" si="19"/>
        <v>164.13636</v>
      </c>
      <c r="I138" s="107"/>
      <c r="J138" s="107"/>
      <c r="K138" s="107"/>
      <c r="L138" s="107"/>
      <c r="M138" s="107"/>
      <c r="N138" s="107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7"/>
      <c r="Z138" s="106"/>
      <c r="AA138" s="106"/>
      <c r="AB138" s="106"/>
      <c r="AC138" s="107"/>
      <c r="AD138" s="107"/>
      <c r="AE138" s="107"/>
      <c r="AF138" s="107"/>
      <c r="AG138" s="107"/>
      <c r="AH138" s="107"/>
      <c r="AI138" s="107"/>
      <c r="AJ138" s="108">
        <v>0</v>
      </c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6"/>
      <c r="AZ138" s="107"/>
      <c r="BA138" s="107"/>
      <c r="BB138" s="107"/>
      <c r="BC138" s="107">
        <v>167.34835</v>
      </c>
      <c r="BD138" s="107">
        <v>164.13636</v>
      </c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9"/>
      <c r="BR138" s="109"/>
      <c r="BS138" s="109"/>
      <c r="BT138" s="109"/>
      <c r="BU138" s="138"/>
    </row>
    <row r="139" spans="1:73" ht="42" customHeight="1" outlineLevel="2">
      <c r="A139" s="35" t="s">
        <v>47</v>
      </c>
      <c r="B139" s="37" t="s">
        <v>1599</v>
      </c>
      <c r="C139" s="20" t="s">
        <v>1496</v>
      </c>
      <c r="D139" s="218" t="s">
        <v>1661</v>
      </c>
      <c r="E139" s="203" t="s">
        <v>2780</v>
      </c>
      <c r="F139" s="108">
        <f t="shared" si="14"/>
        <v>116.00836</v>
      </c>
      <c r="G139" s="106">
        <f t="shared" si="18"/>
        <v>9.7011</v>
      </c>
      <c r="H139" s="106">
        <f t="shared" si="19"/>
        <v>106.30726</v>
      </c>
      <c r="I139" s="107"/>
      <c r="J139" s="107"/>
      <c r="K139" s="107"/>
      <c r="L139" s="107"/>
      <c r="M139" s="107"/>
      <c r="N139" s="107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7"/>
      <c r="Z139" s="106">
        <v>8.955</v>
      </c>
      <c r="AA139" s="106"/>
      <c r="AB139" s="106"/>
      <c r="AC139" s="107"/>
      <c r="AD139" s="107"/>
      <c r="AE139" s="107"/>
      <c r="AF139" s="107"/>
      <c r="AG139" s="107"/>
      <c r="AH139" s="107"/>
      <c r="AI139" s="107"/>
      <c r="AJ139" s="108">
        <v>0</v>
      </c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6">
        <v>1.57347</v>
      </c>
      <c r="AZ139" s="107">
        <v>86.139</v>
      </c>
      <c r="BA139" s="107"/>
      <c r="BB139" s="107"/>
      <c r="BC139" s="107">
        <v>9.7011</v>
      </c>
      <c r="BD139" s="107">
        <v>9.63979</v>
      </c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9"/>
      <c r="BR139" s="109"/>
      <c r="BS139" s="109"/>
      <c r="BT139" s="109"/>
      <c r="BU139" s="138"/>
    </row>
    <row r="140" spans="1:73" ht="25.5" customHeight="1" outlineLevel="2">
      <c r="A140" s="35" t="s">
        <v>47</v>
      </c>
      <c r="B140" s="37" t="s">
        <v>1425</v>
      </c>
      <c r="C140" s="20" t="s">
        <v>1496</v>
      </c>
      <c r="D140" s="218" t="s">
        <v>1426</v>
      </c>
      <c r="E140" s="203" t="s">
        <v>2775</v>
      </c>
      <c r="F140" s="108">
        <f t="shared" si="14"/>
        <v>316.74883</v>
      </c>
      <c r="G140" s="106">
        <f t="shared" si="18"/>
        <v>158.52476</v>
      </c>
      <c r="H140" s="106">
        <f t="shared" si="19"/>
        <v>158.22407</v>
      </c>
      <c r="I140" s="107"/>
      <c r="J140" s="107"/>
      <c r="K140" s="107"/>
      <c r="L140" s="107"/>
      <c r="M140" s="107"/>
      <c r="N140" s="107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7"/>
      <c r="Z140" s="106"/>
      <c r="AA140" s="106"/>
      <c r="AB140" s="106"/>
      <c r="AC140" s="107"/>
      <c r="AD140" s="107"/>
      <c r="AE140" s="107"/>
      <c r="AF140" s="107"/>
      <c r="AG140" s="107"/>
      <c r="AH140" s="107"/>
      <c r="AI140" s="107"/>
      <c r="AJ140" s="108">
        <v>0</v>
      </c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6"/>
      <c r="AZ140" s="107"/>
      <c r="BA140" s="107"/>
      <c r="BB140" s="107"/>
      <c r="BC140" s="107">
        <v>158.52476</v>
      </c>
      <c r="BD140" s="107">
        <v>158.22407</v>
      </c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9"/>
      <c r="BR140" s="109"/>
      <c r="BS140" s="109"/>
      <c r="BT140" s="109"/>
      <c r="BU140" s="138"/>
    </row>
    <row r="141" spans="1:73" ht="39" customHeight="1" outlineLevel="2">
      <c r="A141" s="35" t="s">
        <v>47</v>
      </c>
      <c r="B141" s="37" t="s">
        <v>1349</v>
      </c>
      <c r="C141" s="20" t="s">
        <v>1496</v>
      </c>
      <c r="D141" s="218" t="s">
        <v>1329</v>
      </c>
      <c r="E141" s="203" t="s">
        <v>2773</v>
      </c>
      <c r="F141" s="108">
        <f t="shared" si="14"/>
        <v>8355.85092</v>
      </c>
      <c r="G141" s="106">
        <f t="shared" si="18"/>
        <v>995.2655199999999</v>
      </c>
      <c r="H141" s="106">
        <f t="shared" si="19"/>
        <v>7360.5854</v>
      </c>
      <c r="I141" s="107"/>
      <c r="J141" s="107"/>
      <c r="K141" s="107">
        <v>53.90751</v>
      </c>
      <c r="L141" s="107">
        <v>13.47688</v>
      </c>
      <c r="M141" s="107"/>
      <c r="N141" s="107"/>
      <c r="O141" s="106"/>
      <c r="P141" s="106"/>
      <c r="Q141" s="106">
        <v>1933.21718</v>
      </c>
      <c r="R141" s="106"/>
      <c r="S141" s="106"/>
      <c r="T141" s="106"/>
      <c r="U141" s="106">
        <v>271.23287</v>
      </c>
      <c r="V141" s="106">
        <v>135.61644</v>
      </c>
      <c r="W141" s="106"/>
      <c r="X141" s="106"/>
      <c r="Y141" s="107"/>
      <c r="Z141" s="107"/>
      <c r="AA141" s="159"/>
      <c r="AB141" s="106"/>
      <c r="AC141" s="107"/>
      <c r="AD141" s="107"/>
      <c r="AE141" s="107"/>
      <c r="AF141" s="107"/>
      <c r="AG141" s="107"/>
      <c r="AH141" s="107"/>
      <c r="AI141" s="107"/>
      <c r="AJ141" s="108">
        <v>693.92457</v>
      </c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6"/>
      <c r="AZ141" s="107"/>
      <c r="BA141" s="107">
        <f>2188.99153+1531.67192</f>
        <v>3720.66345</v>
      </c>
      <c r="BB141" s="107"/>
      <c r="BC141" s="107">
        <v>670.12514</v>
      </c>
      <c r="BD141" s="107">
        <v>657.12862</v>
      </c>
      <c r="BE141" s="107"/>
      <c r="BF141" s="107"/>
      <c r="BG141" s="107"/>
      <c r="BH141" s="107"/>
      <c r="BI141" s="107"/>
      <c r="BJ141" s="107">
        <v>206.55826</v>
      </c>
      <c r="BK141" s="107"/>
      <c r="BL141" s="107"/>
      <c r="BM141" s="107"/>
      <c r="BN141" s="107"/>
      <c r="BO141" s="107"/>
      <c r="BP141" s="107"/>
      <c r="BQ141" s="109"/>
      <c r="BR141" s="109"/>
      <c r="BS141" s="109"/>
      <c r="BT141" s="109"/>
      <c r="BU141" s="138"/>
    </row>
    <row r="142" spans="1:73" ht="39" customHeight="1" outlineLevel="2">
      <c r="A142" s="35" t="s">
        <v>47</v>
      </c>
      <c r="B142" s="37" t="s">
        <v>724</v>
      </c>
      <c r="C142" s="20" t="s">
        <v>710</v>
      </c>
      <c r="D142" s="218" t="s">
        <v>1222</v>
      </c>
      <c r="E142" s="220" t="s">
        <v>1970</v>
      </c>
      <c r="F142" s="108">
        <f t="shared" si="14"/>
        <v>209.47751000000002</v>
      </c>
      <c r="G142" s="106">
        <f t="shared" si="18"/>
        <v>12.94297</v>
      </c>
      <c r="H142" s="106">
        <f t="shared" si="19"/>
        <v>196.53454000000002</v>
      </c>
      <c r="I142" s="107"/>
      <c r="J142" s="107"/>
      <c r="K142" s="107"/>
      <c r="L142" s="107"/>
      <c r="M142" s="107"/>
      <c r="N142" s="107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7"/>
      <c r="Z142" s="106"/>
      <c r="AA142" s="159"/>
      <c r="AB142" s="106"/>
      <c r="AC142" s="107"/>
      <c r="AD142" s="107"/>
      <c r="AE142" s="107"/>
      <c r="AF142" s="107"/>
      <c r="AG142" s="107"/>
      <c r="AH142" s="107"/>
      <c r="AI142" s="107"/>
      <c r="AJ142" s="108">
        <v>0</v>
      </c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6"/>
      <c r="AZ142" s="107"/>
      <c r="BA142" s="107">
        <v>180.5405</v>
      </c>
      <c r="BB142" s="107"/>
      <c r="BC142" s="107">
        <v>12.94297</v>
      </c>
      <c r="BD142" s="107">
        <v>12.85077</v>
      </c>
      <c r="BE142" s="107"/>
      <c r="BF142" s="107"/>
      <c r="BG142" s="107"/>
      <c r="BH142" s="107"/>
      <c r="BI142" s="107"/>
      <c r="BJ142" s="107">
        <v>3.14327</v>
      </c>
      <c r="BK142" s="107"/>
      <c r="BL142" s="107"/>
      <c r="BM142" s="107"/>
      <c r="BN142" s="107"/>
      <c r="BO142" s="107"/>
      <c r="BP142" s="107"/>
      <c r="BQ142" s="109"/>
      <c r="BR142" s="109"/>
      <c r="BS142" s="109"/>
      <c r="BT142" s="109"/>
      <c r="BU142" s="138"/>
    </row>
    <row r="143" spans="1:73" ht="39" customHeight="1" outlineLevel="2">
      <c r="A143" s="35" t="s">
        <v>47</v>
      </c>
      <c r="B143" s="37" t="s">
        <v>1380</v>
      </c>
      <c r="C143" s="20" t="s">
        <v>587</v>
      </c>
      <c r="D143" s="218" t="s">
        <v>1276</v>
      </c>
      <c r="E143" s="220" t="s">
        <v>1971</v>
      </c>
      <c r="F143" s="108">
        <f t="shared" si="14"/>
        <v>229.60736</v>
      </c>
      <c r="G143" s="106">
        <f t="shared" si="18"/>
        <v>114.92832</v>
      </c>
      <c r="H143" s="106">
        <f t="shared" si="19"/>
        <v>114.67904</v>
      </c>
      <c r="I143" s="107"/>
      <c r="J143" s="107"/>
      <c r="K143" s="107"/>
      <c r="L143" s="107"/>
      <c r="M143" s="107"/>
      <c r="N143" s="107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7"/>
      <c r="Z143" s="106"/>
      <c r="AA143" s="106"/>
      <c r="AB143" s="106"/>
      <c r="AC143" s="107"/>
      <c r="AD143" s="107"/>
      <c r="AE143" s="107"/>
      <c r="AF143" s="107"/>
      <c r="AG143" s="107"/>
      <c r="AH143" s="107"/>
      <c r="AI143" s="107"/>
      <c r="AJ143" s="108">
        <v>0</v>
      </c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6"/>
      <c r="AZ143" s="107"/>
      <c r="BA143" s="107"/>
      <c r="BB143" s="107"/>
      <c r="BC143" s="107">
        <v>114.92832</v>
      </c>
      <c r="BD143" s="107">
        <v>114.67904</v>
      </c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9"/>
      <c r="BR143" s="109"/>
      <c r="BS143" s="109"/>
      <c r="BT143" s="109"/>
      <c r="BU143" s="138"/>
    </row>
    <row r="144" spans="1:73" ht="39" customHeight="1" outlineLevel="2">
      <c r="A144" s="35" t="s">
        <v>47</v>
      </c>
      <c r="B144" s="37" t="s">
        <v>723</v>
      </c>
      <c r="C144" s="20" t="s">
        <v>587</v>
      </c>
      <c r="D144" s="218" t="s">
        <v>1508</v>
      </c>
      <c r="E144" s="220" t="s">
        <v>1972</v>
      </c>
      <c r="F144" s="108">
        <f t="shared" si="14"/>
        <v>10125.5396</v>
      </c>
      <c r="G144" s="106">
        <f t="shared" si="18"/>
        <v>530.39148</v>
      </c>
      <c r="H144" s="106">
        <f t="shared" si="19"/>
        <v>9595.14812</v>
      </c>
      <c r="I144" s="107"/>
      <c r="J144" s="107"/>
      <c r="K144" s="107"/>
      <c r="L144" s="107"/>
      <c r="M144" s="107"/>
      <c r="N144" s="107"/>
      <c r="O144" s="106">
        <v>41.34654</v>
      </c>
      <c r="P144" s="106">
        <v>1.34878</v>
      </c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8">
        <v>0</v>
      </c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>
        <v>388.10084</v>
      </c>
      <c r="AY144" s="106">
        <v>125.9356</v>
      </c>
      <c r="AZ144" s="107"/>
      <c r="BA144" s="107"/>
      <c r="BB144" s="107"/>
      <c r="BC144" s="107">
        <v>100.9441</v>
      </c>
      <c r="BD144" s="107">
        <v>98.98404</v>
      </c>
      <c r="BE144" s="107"/>
      <c r="BF144" s="107"/>
      <c r="BG144" s="107"/>
      <c r="BH144" s="107"/>
      <c r="BI144" s="107"/>
      <c r="BJ144" s="107">
        <v>43.8797</v>
      </c>
      <c r="BK144" s="107"/>
      <c r="BL144" s="107"/>
      <c r="BM144" s="107"/>
      <c r="BN144" s="107"/>
      <c r="BO144" s="107"/>
      <c r="BP144" s="107"/>
      <c r="BQ144" s="109"/>
      <c r="BR144" s="109"/>
      <c r="BS144" s="109"/>
      <c r="BT144" s="109"/>
      <c r="BU144" s="138">
        <v>9325</v>
      </c>
    </row>
    <row r="145" spans="1:73" ht="39" customHeight="1" outlineLevel="2">
      <c r="A145" s="35" t="s">
        <v>47</v>
      </c>
      <c r="B145" s="37" t="s">
        <v>129</v>
      </c>
      <c r="C145" s="20" t="s">
        <v>587</v>
      </c>
      <c r="D145" s="218" t="s">
        <v>1223</v>
      </c>
      <c r="E145" s="220" t="s">
        <v>1973</v>
      </c>
      <c r="F145" s="108">
        <f t="shared" si="14"/>
        <v>1279.2460099999998</v>
      </c>
      <c r="G145" s="106">
        <f t="shared" si="18"/>
        <v>104.32874</v>
      </c>
      <c r="H145" s="106">
        <f t="shared" si="19"/>
        <v>1174.91727</v>
      </c>
      <c r="I145" s="107"/>
      <c r="J145" s="107"/>
      <c r="K145" s="107"/>
      <c r="L145" s="107"/>
      <c r="M145" s="107"/>
      <c r="N145" s="107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7"/>
      <c r="Z145" s="106"/>
      <c r="AA145" s="106"/>
      <c r="AB145" s="106"/>
      <c r="AC145" s="107"/>
      <c r="AD145" s="107"/>
      <c r="AE145" s="107"/>
      <c r="AF145" s="107"/>
      <c r="AG145" s="107"/>
      <c r="AH145" s="107"/>
      <c r="AI145" s="107"/>
      <c r="AJ145" s="108">
        <v>0</v>
      </c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>
        <v>871.7</v>
      </c>
      <c r="AV145" s="107"/>
      <c r="AW145" s="107"/>
      <c r="AX145" s="107"/>
      <c r="AY145" s="106"/>
      <c r="AZ145" s="107"/>
      <c r="BA145" s="107">
        <f>70+130.91295</f>
        <v>200.91295</v>
      </c>
      <c r="BB145" s="107"/>
      <c r="BC145" s="107">
        <v>104.32874</v>
      </c>
      <c r="BD145" s="107">
        <v>102.30432</v>
      </c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9"/>
      <c r="BR145" s="109"/>
      <c r="BS145" s="109"/>
      <c r="BT145" s="109"/>
      <c r="BU145" s="138"/>
    </row>
    <row r="146" spans="1:73" ht="39" customHeight="1" outlineLevel="2">
      <c r="A146" s="35" t="s">
        <v>47</v>
      </c>
      <c r="B146" s="37" t="s">
        <v>1381</v>
      </c>
      <c r="C146" s="20" t="s">
        <v>587</v>
      </c>
      <c r="D146" s="218" t="s">
        <v>930</v>
      </c>
      <c r="E146" s="220" t="s">
        <v>1974</v>
      </c>
      <c r="F146" s="108">
        <f t="shared" si="14"/>
        <v>251.67831</v>
      </c>
      <c r="G146" s="106">
        <f t="shared" si="18"/>
        <v>12.7797</v>
      </c>
      <c r="H146" s="106">
        <f t="shared" si="19"/>
        <v>238.89861000000002</v>
      </c>
      <c r="I146" s="107"/>
      <c r="J146" s="107"/>
      <c r="K146" s="107"/>
      <c r="L146" s="107"/>
      <c r="M146" s="107"/>
      <c r="N146" s="107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7"/>
      <c r="Z146" s="106"/>
      <c r="AA146" s="106"/>
      <c r="AB146" s="106"/>
      <c r="AC146" s="107"/>
      <c r="AD146" s="107"/>
      <c r="AE146" s="107"/>
      <c r="AF146" s="107"/>
      <c r="AG146" s="107"/>
      <c r="AH146" s="107"/>
      <c r="AI146" s="107"/>
      <c r="AJ146" s="108">
        <v>0</v>
      </c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6"/>
      <c r="AZ146" s="107"/>
      <c r="BA146" s="107">
        <v>226.28655</v>
      </c>
      <c r="BB146" s="107"/>
      <c r="BC146" s="107">
        <v>12.7797</v>
      </c>
      <c r="BD146" s="107">
        <v>12.61206</v>
      </c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9"/>
      <c r="BR146" s="109"/>
      <c r="BS146" s="109"/>
      <c r="BT146" s="109"/>
      <c r="BU146" s="138"/>
    </row>
    <row r="147" spans="1:73" ht="39" customHeight="1" outlineLevel="2">
      <c r="A147" s="35" t="s">
        <v>47</v>
      </c>
      <c r="B147" s="37" t="s">
        <v>1382</v>
      </c>
      <c r="C147" s="20" t="s">
        <v>587</v>
      </c>
      <c r="D147" s="218" t="s">
        <v>1221</v>
      </c>
      <c r="E147" s="220" t="s">
        <v>1975</v>
      </c>
      <c r="F147" s="108">
        <f t="shared" si="14"/>
        <v>8.885860000000001</v>
      </c>
      <c r="G147" s="106">
        <f t="shared" si="18"/>
        <v>4.48622</v>
      </c>
      <c r="H147" s="106">
        <f t="shared" si="19"/>
        <v>4.39964</v>
      </c>
      <c r="I147" s="107"/>
      <c r="J147" s="107"/>
      <c r="K147" s="107"/>
      <c r="L147" s="107"/>
      <c r="M147" s="107"/>
      <c r="N147" s="107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7"/>
      <c r="Z147" s="106"/>
      <c r="AA147" s="159"/>
      <c r="AB147" s="106"/>
      <c r="AC147" s="107"/>
      <c r="AD147" s="107"/>
      <c r="AE147" s="107"/>
      <c r="AF147" s="107"/>
      <c r="AG147" s="107"/>
      <c r="AH147" s="107"/>
      <c r="AI147" s="107"/>
      <c r="AJ147" s="108">
        <v>0</v>
      </c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6"/>
      <c r="AZ147" s="107"/>
      <c r="BA147" s="107"/>
      <c r="BB147" s="107"/>
      <c r="BC147" s="107">
        <v>4.48622</v>
      </c>
      <c r="BD147" s="107">
        <v>4.39964</v>
      </c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9"/>
      <c r="BR147" s="109"/>
      <c r="BS147" s="109"/>
      <c r="BT147" s="109"/>
      <c r="BU147" s="138"/>
    </row>
    <row r="148" spans="1:73" ht="39" customHeight="1" outlineLevel="2">
      <c r="A148" s="35" t="s">
        <v>47</v>
      </c>
      <c r="B148" s="37" t="s">
        <v>725</v>
      </c>
      <c r="C148" s="20" t="s">
        <v>587</v>
      </c>
      <c r="D148" s="218" t="s">
        <v>1143</v>
      </c>
      <c r="E148" s="220" t="s">
        <v>1976</v>
      </c>
      <c r="F148" s="108">
        <f t="shared" si="14"/>
        <v>61.52596</v>
      </c>
      <c r="G148" s="106">
        <f t="shared" si="18"/>
        <v>8.07978</v>
      </c>
      <c r="H148" s="106">
        <f t="shared" si="19"/>
        <v>53.44618</v>
      </c>
      <c r="I148" s="107"/>
      <c r="J148" s="107"/>
      <c r="K148" s="107"/>
      <c r="L148" s="107"/>
      <c r="M148" s="107"/>
      <c r="N148" s="107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7"/>
      <c r="Z148" s="106"/>
      <c r="AA148" s="106"/>
      <c r="AB148" s="106"/>
      <c r="AC148" s="107"/>
      <c r="AD148" s="107"/>
      <c r="AE148" s="107"/>
      <c r="AF148" s="107"/>
      <c r="AG148" s="107"/>
      <c r="AH148" s="107"/>
      <c r="AI148" s="107"/>
      <c r="AJ148" s="108">
        <v>0</v>
      </c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6">
        <v>45.52304</v>
      </c>
      <c r="AZ148" s="107"/>
      <c r="BA148" s="107"/>
      <c r="BB148" s="107"/>
      <c r="BC148" s="107">
        <v>8.07978</v>
      </c>
      <c r="BD148" s="107">
        <v>7.92314</v>
      </c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9"/>
      <c r="BR148" s="109"/>
      <c r="BS148" s="109"/>
      <c r="BT148" s="109"/>
      <c r="BU148" s="138"/>
    </row>
    <row r="149" spans="1:73" ht="39" customHeight="1" outlineLevel="2">
      <c r="A149" s="35" t="s">
        <v>47</v>
      </c>
      <c r="B149" s="37" t="s">
        <v>923</v>
      </c>
      <c r="C149" s="20" t="s">
        <v>587</v>
      </c>
      <c r="D149" s="218" t="s">
        <v>48</v>
      </c>
      <c r="E149" s="220" t="s">
        <v>1977</v>
      </c>
      <c r="F149" s="108">
        <f t="shared" si="14"/>
        <v>861.3260399999999</v>
      </c>
      <c r="G149" s="106">
        <f t="shared" si="18"/>
        <v>178.38118</v>
      </c>
      <c r="H149" s="106">
        <f t="shared" si="19"/>
        <v>682.94486</v>
      </c>
      <c r="I149" s="107"/>
      <c r="J149" s="107"/>
      <c r="K149" s="107"/>
      <c r="L149" s="107"/>
      <c r="M149" s="107"/>
      <c r="N149" s="107"/>
      <c r="O149" s="106">
        <v>31.39784</v>
      </c>
      <c r="P149" s="106"/>
      <c r="Q149" s="106"/>
      <c r="R149" s="106"/>
      <c r="S149" s="106"/>
      <c r="T149" s="106"/>
      <c r="U149" s="106"/>
      <c r="V149" s="106"/>
      <c r="W149" s="106"/>
      <c r="X149" s="106"/>
      <c r="Y149" s="107"/>
      <c r="Z149" s="106"/>
      <c r="AA149" s="159"/>
      <c r="AB149" s="106"/>
      <c r="AC149" s="107"/>
      <c r="AD149" s="107"/>
      <c r="AE149" s="107"/>
      <c r="AF149" s="107"/>
      <c r="AG149" s="107"/>
      <c r="AH149" s="107"/>
      <c r="AI149" s="107"/>
      <c r="AJ149" s="108">
        <v>0</v>
      </c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6"/>
      <c r="AZ149" s="107"/>
      <c r="BA149" s="107">
        <f>62.5+476.30485</f>
        <v>538.80485</v>
      </c>
      <c r="BB149" s="107"/>
      <c r="BC149" s="107">
        <v>146.98334</v>
      </c>
      <c r="BD149" s="107">
        <v>144.14001</v>
      </c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9"/>
      <c r="BR149" s="109"/>
      <c r="BS149" s="109"/>
      <c r="BT149" s="109"/>
      <c r="BU149" s="138"/>
    </row>
    <row r="150" spans="1:73" ht="39" customHeight="1" outlineLevel="2">
      <c r="A150" s="35" t="s">
        <v>47</v>
      </c>
      <c r="B150" s="37" t="s">
        <v>790</v>
      </c>
      <c r="C150" s="20" t="s">
        <v>587</v>
      </c>
      <c r="D150" s="218" t="s">
        <v>505</v>
      </c>
      <c r="E150" s="220" t="s">
        <v>1978</v>
      </c>
      <c r="F150" s="108">
        <f t="shared" si="14"/>
        <v>1710</v>
      </c>
      <c r="G150" s="106">
        <f t="shared" si="18"/>
        <v>0</v>
      </c>
      <c r="H150" s="106">
        <f t="shared" si="19"/>
        <v>1710</v>
      </c>
      <c r="I150" s="107"/>
      <c r="J150" s="107"/>
      <c r="K150" s="107"/>
      <c r="L150" s="107"/>
      <c r="M150" s="107"/>
      <c r="N150" s="107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7"/>
      <c r="Z150" s="106"/>
      <c r="AA150" s="106"/>
      <c r="AB150" s="106"/>
      <c r="AC150" s="107"/>
      <c r="AD150" s="107"/>
      <c r="AE150" s="107"/>
      <c r="AF150" s="107"/>
      <c r="AG150" s="107"/>
      <c r="AH150" s="107"/>
      <c r="AI150" s="107"/>
      <c r="AJ150" s="108">
        <v>0</v>
      </c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6"/>
      <c r="AZ150" s="107">
        <v>1710</v>
      </c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9"/>
      <c r="BR150" s="109"/>
      <c r="BS150" s="109"/>
      <c r="BT150" s="109"/>
      <c r="BU150" s="138"/>
    </row>
    <row r="151" spans="1:73" ht="39" customHeight="1" outlineLevel="2">
      <c r="A151" s="35" t="s">
        <v>47</v>
      </c>
      <c r="B151" s="37" t="s">
        <v>1721</v>
      </c>
      <c r="C151" s="20" t="s">
        <v>587</v>
      </c>
      <c r="D151" s="218" t="s">
        <v>621</v>
      </c>
      <c r="E151" s="220" t="s">
        <v>1979</v>
      </c>
      <c r="F151" s="108">
        <f t="shared" si="14"/>
        <v>215.31096000000002</v>
      </c>
      <c r="G151" s="106">
        <f t="shared" si="18"/>
        <v>159.07486</v>
      </c>
      <c r="H151" s="106">
        <f t="shared" si="19"/>
        <v>56.23610000000001</v>
      </c>
      <c r="I151" s="107"/>
      <c r="J151" s="107"/>
      <c r="K151" s="107"/>
      <c r="L151" s="107"/>
      <c r="M151" s="107"/>
      <c r="N151" s="107"/>
      <c r="O151" s="106">
        <v>37.05121</v>
      </c>
      <c r="P151" s="106">
        <v>1.36075</v>
      </c>
      <c r="Q151" s="106"/>
      <c r="R151" s="106"/>
      <c r="S151" s="106"/>
      <c r="T151" s="106"/>
      <c r="U151" s="106"/>
      <c r="V151" s="106"/>
      <c r="W151" s="106"/>
      <c r="X151" s="106"/>
      <c r="Y151" s="107"/>
      <c r="Z151" s="106"/>
      <c r="AA151" s="106"/>
      <c r="AB151" s="106"/>
      <c r="AC151" s="107"/>
      <c r="AD151" s="107"/>
      <c r="AE151" s="107"/>
      <c r="AF151" s="107"/>
      <c r="AG151" s="107"/>
      <c r="AH151" s="107"/>
      <c r="AI151" s="107"/>
      <c r="AJ151" s="108">
        <v>0</v>
      </c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>
        <v>111.8013</v>
      </c>
      <c r="AY151" s="106">
        <v>44.00115</v>
      </c>
      <c r="AZ151" s="107"/>
      <c r="BA151" s="107"/>
      <c r="BB151" s="107"/>
      <c r="BC151" s="107">
        <v>10.22235</v>
      </c>
      <c r="BD151" s="107">
        <v>10.02383</v>
      </c>
      <c r="BE151" s="107"/>
      <c r="BF151" s="107"/>
      <c r="BG151" s="107"/>
      <c r="BH151" s="107"/>
      <c r="BI151" s="107"/>
      <c r="BJ151" s="107">
        <v>0.85037</v>
      </c>
      <c r="BK151" s="107"/>
      <c r="BL151" s="107"/>
      <c r="BM151" s="107"/>
      <c r="BN151" s="107"/>
      <c r="BO151" s="107"/>
      <c r="BP151" s="107"/>
      <c r="BQ151" s="109"/>
      <c r="BR151" s="109"/>
      <c r="BS151" s="109"/>
      <c r="BT151" s="109"/>
      <c r="BU151" s="138"/>
    </row>
    <row r="152" spans="1:73" ht="40.5" customHeight="1" outlineLevel="2">
      <c r="A152" s="35" t="s">
        <v>47</v>
      </c>
      <c r="B152" s="37" t="s">
        <v>1754</v>
      </c>
      <c r="C152" s="20" t="s">
        <v>587</v>
      </c>
      <c r="D152" s="218" t="s">
        <v>1731</v>
      </c>
      <c r="E152" s="220" t="s">
        <v>1980</v>
      </c>
      <c r="F152" s="108">
        <f t="shared" si="14"/>
        <v>194.0511</v>
      </c>
      <c r="G152" s="106">
        <f t="shared" si="18"/>
        <v>0</v>
      </c>
      <c r="H152" s="106">
        <f t="shared" si="19"/>
        <v>194.0511</v>
      </c>
      <c r="I152" s="107"/>
      <c r="J152" s="107"/>
      <c r="K152" s="107"/>
      <c r="L152" s="107"/>
      <c r="M152" s="107"/>
      <c r="N152" s="107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7"/>
      <c r="Z152" s="106"/>
      <c r="AA152" s="106"/>
      <c r="AB152" s="106"/>
      <c r="AC152" s="107"/>
      <c r="AD152" s="107"/>
      <c r="AE152" s="107"/>
      <c r="AF152" s="107"/>
      <c r="AG152" s="107"/>
      <c r="AH152" s="107"/>
      <c r="AI152" s="107"/>
      <c r="AJ152" s="108">
        <v>0</v>
      </c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6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>
        <v>194.0511</v>
      </c>
      <c r="BN152" s="107"/>
      <c r="BO152" s="107"/>
      <c r="BP152" s="107"/>
      <c r="BQ152" s="109"/>
      <c r="BR152" s="109"/>
      <c r="BS152" s="109"/>
      <c r="BT152" s="109"/>
      <c r="BU152" s="138"/>
    </row>
    <row r="153" spans="1:73" ht="40.5" customHeight="1" outlineLevel="2">
      <c r="A153" s="35" t="s">
        <v>47</v>
      </c>
      <c r="B153" s="37" t="s">
        <v>130</v>
      </c>
      <c r="C153" s="20" t="s">
        <v>587</v>
      </c>
      <c r="D153" s="218" t="s">
        <v>1224</v>
      </c>
      <c r="E153" s="220" t="s">
        <v>1981</v>
      </c>
      <c r="F153" s="108">
        <f t="shared" si="14"/>
        <v>6.936529999999999</v>
      </c>
      <c r="G153" s="106">
        <f t="shared" si="18"/>
        <v>3.50201</v>
      </c>
      <c r="H153" s="106">
        <f t="shared" si="19"/>
        <v>3.43452</v>
      </c>
      <c r="I153" s="107"/>
      <c r="J153" s="107"/>
      <c r="K153" s="107"/>
      <c r="L153" s="107"/>
      <c r="M153" s="107"/>
      <c r="N153" s="107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7"/>
      <c r="Z153" s="106"/>
      <c r="AA153" s="159"/>
      <c r="AB153" s="106"/>
      <c r="AC153" s="107"/>
      <c r="AD153" s="107"/>
      <c r="AE153" s="107"/>
      <c r="AF153" s="107"/>
      <c r="AG153" s="107"/>
      <c r="AH153" s="107"/>
      <c r="AI153" s="107"/>
      <c r="AJ153" s="108">
        <v>0</v>
      </c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6"/>
      <c r="AZ153" s="107"/>
      <c r="BA153" s="107"/>
      <c r="BB153" s="107"/>
      <c r="BC153" s="107">
        <v>3.50201</v>
      </c>
      <c r="BD153" s="107">
        <v>3.43452</v>
      </c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9"/>
      <c r="BR153" s="109"/>
      <c r="BS153" s="109"/>
      <c r="BT153" s="109"/>
      <c r="BU153" s="138"/>
    </row>
    <row r="154" spans="1:73" ht="40.5" customHeight="1" outlineLevel="2">
      <c r="A154" s="35" t="s">
        <v>47</v>
      </c>
      <c r="B154" s="37" t="s">
        <v>719</v>
      </c>
      <c r="C154" s="20" t="s">
        <v>587</v>
      </c>
      <c r="D154" s="218" t="s">
        <v>306</v>
      </c>
      <c r="E154" s="220" t="s">
        <v>1982</v>
      </c>
      <c r="F154" s="108">
        <f t="shared" si="14"/>
        <v>683.1226499999999</v>
      </c>
      <c r="G154" s="106">
        <f t="shared" si="18"/>
        <v>439.29788999999994</v>
      </c>
      <c r="H154" s="106">
        <f t="shared" si="19"/>
        <v>243.82476</v>
      </c>
      <c r="I154" s="107"/>
      <c r="J154" s="107"/>
      <c r="K154" s="107"/>
      <c r="L154" s="107"/>
      <c r="M154" s="107"/>
      <c r="N154" s="107"/>
      <c r="O154" s="106">
        <v>173.10357</v>
      </c>
      <c r="P154" s="106">
        <v>7.87394</v>
      </c>
      <c r="Q154" s="106"/>
      <c r="R154" s="106"/>
      <c r="S154" s="106"/>
      <c r="T154" s="106"/>
      <c r="U154" s="106"/>
      <c r="V154" s="106"/>
      <c r="W154" s="106"/>
      <c r="X154" s="106"/>
      <c r="Y154" s="107"/>
      <c r="Z154" s="106"/>
      <c r="AA154" s="159">
        <v>41.87211</v>
      </c>
      <c r="AB154" s="106">
        <v>19.80731</v>
      </c>
      <c r="AC154" s="107"/>
      <c r="AD154" s="107"/>
      <c r="AE154" s="107"/>
      <c r="AF154" s="107"/>
      <c r="AG154" s="107"/>
      <c r="AH154" s="107"/>
      <c r="AI154" s="107"/>
      <c r="AJ154" s="108">
        <v>0</v>
      </c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>
        <v>179.93397</v>
      </c>
      <c r="AY154" s="106">
        <v>74.92558</v>
      </c>
      <c r="AZ154" s="107"/>
      <c r="BA154" s="107"/>
      <c r="BB154" s="107"/>
      <c r="BC154" s="107">
        <v>44.38824</v>
      </c>
      <c r="BD154" s="107">
        <v>43.53043</v>
      </c>
      <c r="BE154" s="107"/>
      <c r="BF154" s="107"/>
      <c r="BG154" s="107"/>
      <c r="BH154" s="107"/>
      <c r="BI154" s="107"/>
      <c r="BJ154" s="107">
        <v>97.6875</v>
      </c>
      <c r="BK154" s="107"/>
      <c r="BL154" s="107"/>
      <c r="BM154" s="107"/>
      <c r="BN154" s="107"/>
      <c r="BO154" s="107"/>
      <c r="BP154" s="107"/>
      <c r="BQ154" s="109"/>
      <c r="BR154" s="109"/>
      <c r="BS154" s="109"/>
      <c r="BT154" s="109"/>
      <c r="BU154" s="138"/>
    </row>
    <row r="155" spans="1:73" ht="40.5" customHeight="1" outlineLevel="2">
      <c r="A155" s="35" t="s">
        <v>47</v>
      </c>
      <c r="B155" s="37" t="s">
        <v>1609</v>
      </c>
      <c r="C155" s="20" t="s">
        <v>587</v>
      </c>
      <c r="D155" s="218" t="s">
        <v>1657</v>
      </c>
      <c r="E155" s="220" t="s">
        <v>1983</v>
      </c>
      <c r="F155" s="108">
        <f t="shared" si="14"/>
        <v>775.3766700000001</v>
      </c>
      <c r="G155" s="106">
        <f t="shared" si="18"/>
        <v>435.96946</v>
      </c>
      <c r="H155" s="106">
        <f t="shared" si="19"/>
        <v>339.40721</v>
      </c>
      <c r="I155" s="107"/>
      <c r="J155" s="107"/>
      <c r="K155" s="107"/>
      <c r="L155" s="107"/>
      <c r="M155" s="107"/>
      <c r="N155" s="107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7"/>
      <c r="Z155" s="106"/>
      <c r="AA155" s="159">
        <v>160.58251</v>
      </c>
      <c r="AB155" s="106">
        <v>69.32558</v>
      </c>
      <c r="AC155" s="107"/>
      <c r="AD155" s="107"/>
      <c r="AE155" s="107"/>
      <c r="AF155" s="107"/>
      <c r="AG155" s="107"/>
      <c r="AH155" s="107"/>
      <c r="AI155" s="107"/>
      <c r="AJ155" s="108">
        <v>0</v>
      </c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6"/>
      <c r="AZ155" s="107"/>
      <c r="BA155" s="107"/>
      <c r="BB155" s="107"/>
      <c r="BC155" s="107">
        <v>275.38695</v>
      </c>
      <c r="BD155" s="107">
        <v>270.08163</v>
      </c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9"/>
      <c r="BR155" s="109"/>
      <c r="BS155" s="109"/>
      <c r="BT155" s="109"/>
      <c r="BU155" s="138"/>
    </row>
    <row r="156" spans="1:73" ht="40.5" customHeight="1" outlineLevel="2">
      <c r="A156" s="35" t="s">
        <v>47</v>
      </c>
      <c r="B156" s="37" t="s">
        <v>1613</v>
      </c>
      <c r="C156" s="20" t="s">
        <v>587</v>
      </c>
      <c r="D156" s="218" t="s">
        <v>1658</v>
      </c>
      <c r="E156" s="220" t="s">
        <v>1984</v>
      </c>
      <c r="F156" s="108">
        <f t="shared" si="14"/>
        <v>42.81611</v>
      </c>
      <c r="G156" s="106">
        <f t="shared" si="18"/>
        <v>21.41786</v>
      </c>
      <c r="H156" s="106">
        <f t="shared" si="19"/>
        <v>21.39825</v>
      </c>
      <c r="I156" s="107"/>
      <c r="J156" s="107"/>
      <c r="K156" s="107"/>
      <c r="L156" s="107"/>
      <c r="M156" s="107"/>
      <c r="N156" s="107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7"/>
      <c r="Z156" s="106"/>
      <c r="AA156" s="106"/>
      <c r="AB156" s="106"/>
      <c r="AC156" s="107"/>
      <c r="AD156" s="107"/>
      <c r="AE156" s="107"/>
      <c r="AF156" s="107"/>
      <c r="AG156" s="107"/>
      <c r="AH156" s="107"/>
      <c r="AI156" s="107"/>
      <c r="AJ156" s="108">
        <v>0</v>
      </c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6"/>
      <c r="AZ156" s="107"/>
      <c r="BA156" s="107"/>
      <c r="BB156" s="107"/>
      <c r="BC156" s="107">
        <v>21.41786</v>
      </c>
      <c r="BD156" s="107">
        <v>21.39825</v>
      </c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9"/>
      <c r="BR156" s="109"/>
      <c r="BS156" s="109"/>
      <c r="BT156" s="109"/>
      <c r="BU156" s="138"/>
    </row>
    <row r="157" spans="1:73" ht="40.5" customHeight="1" outlineLevel="2">
      <c r="A157" s="35" t="s">
        <v>47</v>
      </c>
      <c r="B157" s="37" t="s">
        <v>414</v>
      </c>
      <c r="C157" s="20" t="s">
        <v>587</v>
      </c>
      <c r="D157" s="218" t="s">
        <v>590</v>
      </c>
      <c r="E157" s="220" t="s">
        <v>1985</v>
      </c>
      <c r="F157" s="108">
        <f t="shared" si="14"/>
        <v>303.23398</v>
      </c>
      <c r="G157" s="106">
        <f t="shared" si="18"/>
        <v>240.23398</v>
      </c>
      <c r="H157" s="106">
        <f t="shared" si="19"/>
        <v>63</v>
      </c>
      <c r="I157" s="107"/>
      <c r="J157" s="107"/>
      <c r="K157" s="107"/>
      <c r="L157" s="107"/>
      <c r="M157" s="107"/>
      <c r="N157" s="107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7"/>
      <c r="Z157" s="106"/>
      <c r="AA157" s="106"/>
      <c r="AB157" s="106"/>
      <c r="AC157" s="107"/>
      <c r="AD157" s="107"/>
      <c r="AE157" s="107"/>
      <c r="AF157" s="107"/>
      <c r="AG157" s="107"/>
      <c r="AH157" s="107"/>
      <c r="AI157" s="107"/>
      <c r="AJ157" s="108">
        <v>0</v>
      </c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6"/>
      <c r="AZ157" s="107">
        <v>63</v>
      </c>
      <c r="BA157" s="107"/>
      <c r="BB157" s="107"/>
      <c r="BC157" s="107">
        <v>240.23398</v>
      </c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9"/>
      <c r="BR157" s="109"/>
      <c r="BS157" s="109"/>
      <c r="BT157" s="109"/>
      <c r="BU157" s="138"/>
    </row>
    <row r="158" spans="1:73" ht="42" customHeight="1" outlineLevel="2">
      <c r="A158" s="35" t="s">
        <v>47</v>
      </c>
      <c r="B158" s="37" t="s">
        <v>307</v>
      </c>
      <c r="C158" s="20" t="s">
        <v>587</v>
      </c>
      <c r="D158" s="218" t="s">
        <v>885</v>
      </c>
      <c r="E158" s="203" t="s">
        <v>1986</v>
      </c>
      <c r="F158" s="108">
        <f t="shared" si="14"/>
        <v>181.96677</v>
      </c>
      <c r="G158" s="106">
        <f t="shared" si="18"/>
        <v>126.2653</v>
      </c>
      <c r="H158" s="106">
        <f t="shared" si="19"/>
        <v>55.70147</v>
      </c>
      <c r="I158" s="107"/>
      <c r="J158" s="107"/>
      <c r="K158" s="107"/>
      <c r="L158" s="107"/>
      <c r="M158" s="107"/>
      <c r="N158" s="107"/>
      <c r="O158" s="106">
        <v>20.98601</v>
      </c>
      <c r="P158" s="106">
        <v>0.82698</v>
      </c>
      <c r="Q158" s="106"/>
      <c r="R158" s="106"/>
      <c r="S158" s="106"/>
      <c r="T158" s="106"/>
      <c r="U158" s="106"/>
      <c r="V158" s="106"/>
      <c r="W158" s="106"/>
      <c r="X158" s="106"/>
      <c r="Y158" s="107"/>
      <c r="Z158" s="106"/>
      <c r="AA158" s="106"/>
      <c r="AB158" s="106"/>
      <c r="AC158" s="107"/>
      <c r="AD158" s="107"/>
      <c r="AE158" s="107"/>
      <c r="AF158" s="107"/>
      <c r="AG158" s="107"/>
      <c r="AH158" s="107"/>
      <c r="AI158" s="107"/>
      <c r="AJ158" s="108">
        <v>0</v>
      </c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>
        <v>85.97144</v>
      </c>
      <c r="AY158" s="106">
        <v>35.94126</v>
      </c>
      <c r="AZ158" s="107"/>
      <c r="BA158" s="107"/>
      <c r="BB158" s="107"/>
      <c r="BC158" s="107">
        <v>19.30785</v>
      </c>
      <c r="BD158" s="107">
        <v>18.93323</v>
      </c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9"/>
      <c r="BR158" s="109"/>
      <c r="BS158" s="109"/>
      <c r="BT158" s="109"/>
      <c r="BU158" s="138"/>
    </row>
    <row r="159" spans="1:73" ht="40.5" customHeight="1" outlineLevel="2">
      <c r="A159" s="35" t="s">
        <v>47</v>
      </c>
      <c r="B159" s="37" t="s">
        <v>416</v>
      </c>
      <c r="C159" s="20" t="s">
        <v>587</v>
      </c>
      <c r="D159" s="218" t="s">
        <v>886</v>
      </c>
      <c r="E159" s="220" t="s">
        <v>1987</v>
      </c>
      <c r="F159" s="108">
        <f t="shared" si="14"/>
        <v>619.80756</v>
      </c>
      <c r="G159" s="106">
        <f t="shared" si="18"/>
        <v>82.48419</v>
      </c>
      <c r="H159" s="106">
        <f t="shared" si="19"/>
        <v>537.32337</v>
      </c>
      <c r="I159" s="107"/>
      <c r="J159" s="107"/>
      <c r="K159" s="107"/>
      <c r="L159" s="107"/>
      <c r="M159" s="107"/>
      <c r="N159" s="107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7"/>
      <c r="Z159" s="106"/>
      <c r="AA159" s="106"/>
      <c r="AB159" s="106"/>
      <c r="AC159" s="107"/>
      <c r="AD159" s="107"/>
      <c r="AE159" s="107"/>
      <c r="AF159" s="107"/>
      <c r="AG159" s="107"/>
      <c r="AH159" s="107"/>
      <c r="AI159" s="107"/>
      <c r="AJ159" s="108">
        <v>0</v>
      </c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>
        <v>141.44</v>
      </c>
      <c r="AW159" s="107"/>
      <c r="AX159" s="107"/>
      <c r="AY159" s="106"/>
      <c r="AZ159" s="107">
        <v>315</v>
      </c>
      <c r="BA159" s="107"/>
      <c r="BB159" s="107"/>
      <c r="BC159" s="107">
        <v>82.48419</v>
      </c>
      <c r="BD159" s="107">
        <v>80.88337</v>
      </c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9"/>
      <c r="BR159" s="109"/>
      <c r="BS159" s="109"/>
      <c r="BT159" s="109"/>
      <c r="BU159" s="138"/>
    </row>
    <row r="160" spans="1:73" ht="40.5" customHeight="1" outlineLevel="2">
      <c r="A160" s="35" t="s">
        <v>47</v>
      </c>
      <c r="B160" s="37" t="s">
        <v>718</v>
      </c>
      <c r="C160" s="20" t="s">
        <v>587</v>
      </c>
      <c r="D160" s="218" t="s">
        <v>487</v>
      </c>
      <c r="E160" s="220" t="s">
        <v>1988</v>
      </c>
      <c r="F160" s="108">
        <f t="shared" si="14"/>
        <v>27.87308</v>
      </c>
      <c r="G160" s="106">
        <f t="shared" si="18"/>
        <v>16.26733</v>
      </c>
      <c r="H160" s="106">
        <f t="shared" si="19"/>
        <v>11.60575</v>
      </c>
      <c r="I160" s="107"/>
      <c r="J160" s="107"/>
      <c r="K160" s="107"/>
      <c r="L160" s="107"/>
      <c r="M160" s="107"/>
      <c r="N160" s="107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7"/>
      <c r="Z160" s="106"/>
      <c r="AA160" s="159">
        <v>9.01778</v>
      </c>
      <c r="AB160" s="106">
        <v>4.49626</v>
      </c>
      <c r="AC160" s="107"/>
      <c r="AD160" s="107"/>
      <c r="AE160" s="107"/>
      <c r="AF160" s="107"/>
      <c r="AG160" s="107"/>
      <c r="AH160" s="107"/>
      <c r="AI160" s="107"/>
      <c r="AJ160" s="108">
        <v>0</v>
      </c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6"/>
      <c r="AZ160" s="107"/>
      <c r="BA160" s="107"/>
      <c r="BB160" s="107"/>
      <c r="BC160" s="107">
        <v>7.24955</v>
      </c>
      <c r="BD160" s="107">
        <v>7.10949</v>
      </c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9"/>
      <c r="BR160" s="109"/>
      <c r="BS160" s="109"/>
      <c r="BT160" s="109"/>
      <c r="BU160" s="138"/>
    </row>
    <row r="161" spans="1:73" ht="40.5" customHeight="1" outlineLevel="2">
      <c r="A161" s="35" t="s">
        <v>47</v>
      </c>
      <c r="B161" s="37" t="s">
        <v>717</v>
      </c>
      <c r="C161" s="20" t="s">
        <v>587</v>
      </c>
      <c r="D161" s="218" t="s">
        <v>1200</v>
      </c>
      <c r="E161" s="220" t="s">
        <v>1989</v>
      </c>
      <c r="F161" s="108">
        <f t="shared" si="14"/>
        <v>33.801739999999995</v>
      </c>
      <c r="G161" s="106">
        <f t="shared" si="18"/>
        <v>19.09488</v>
      </c>
      <c r="H161" s="106">
        <f t="shared" si="19"/>
        <v>14.706859999999999</v>
      </c>
      <c r="I161" s="107"/>
      <c r="J161" s="107"/>
      <c r="K161" s="107"/>
      <c r="L161" s="107"/>
      <c r="M161" s="107"/>
      <c r="N161" s="107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7"/>
      <c r="Z161" s="106"/>
      <c r="AA161" s="159">
        <v>8.37999</v>
      </c>
      <c r="AB161" s="106">
        <v>4.19915</v>
      </c>
      <c r="AC161" s="107"/>
      <c r="AD161" s="107"/>
      <c r="AE161" s="107"/>
      <c r="AF161" s="107"/>
      <c r="AG161" s="107"/>
      <c r="AH161" s="107"/>
      <c r="AI161" s="107"/>
      <c r="AJ161" s="108">
        <v>0</v>
      </c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6"/>
      <c r="AZ161" s="107"/>
      <c r="BA161" s="107"/>
      <c r="BB161" s="107"/>
      <c r="BC161" s="107">
        <v>10.71489</v>
      </c>
      <c r="BD161" s="107">
        <v>10.50771</v>
      </c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9"/>
      <c r="BR161" s="109"/>
      <c r="BS161" s="109"/>
      <c r="BT161" s="109"/>
      <c r="BU161" s="138"/>
    </row>
    <row r="162" spans="1:73" ht="40.5" customHeight="1" outlineLevel="2">
      <c r="A162" s="35" t="s">
        <v>47</v>
      </c>
      <c r="B162" s="37" t="s">
        <v>1612</v>
      </c>
      <c r="C162" s="20" t="s">
        <v>587</v>
      </c>
      <c r="D162" s="218" t="s">
        <v>1225</v>
      </c>
      <c r="E162" s="220" t="s">
        <v>1990</v>
      </c>
      <c r="F162" s="108">
        <f t="shared" si="14"/>
        <v>13.271619999999999</v>
      </c>
      <c r="G162" s="106">
        <f t="shared" si="18"/>
        <v>6.70053</v>
      </c>
      <c r="H162" s="106">
        <f t="shared" si="19"/>
        <v>6.57109</v>
      </c>
      <c r="I162" s="107"/>
      <c r="J162" s="107"/>
      <c r="K162" s="107"/>
      <c r="L162" s="107"/>
      <c r="M162" s="107"/>
      <c r="N162" s="107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7"/>
      <c r="Z162" s="106"/>
      <c r="AA162" s="159"/>
      <c r="AB162" s="106"/>
      <c r="AC162" s="107"/>
      <c r="AD162" s="107"/>
      <c r="AE162" s="107"/>
      <c r="AF162" s="107"/>
      <c r="AG162" s="107"/>
      <c r="AH162" s="107"/>
      <c r="AI162" s="107"/>
      <c r="AJ162" s="108">
        <v>0</v>
      </c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6"/>
      <c r="AZ162" s="107"/>
      <c r="BA162" s="107"/>
      <c r="BB162" s="107"/>
      <c r="BC162" s="107">
        <v>6.70053</v>
      </c>
      <c r="BD162" s="107">
        <v>6.57109</v>
      </c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9"/>
      <c r="BR162" s="109"/>
      <c r="BS162" s="109"/>
      <c r="BT162" s="109"/>
      <c r="BU162" s="138"/>
    </row>
    <row r="163" spans="1:73" ht="35.25" customHeight="1" outlineLevel="2">
      <c r="A163" s="35" t="s">
        <v>47</v>
      </c>
      <c r="B163" s="37" t="s">
        <v>491</v>
      </c>
      <c r="C163" s="20" t="s">
        <v>587</v>
      </c>
      <c r="D163" s="218" t="s">
        <v>1992</v>
      </c>
      <c r="E163" s="220" t="s">
        <v>1991</v>
      </c>
      <c r="F163" s="108">
        <f t="shared" si="14"/>
        <v>504</v>
      </c>
      <c r="G163" s="106">
        <f t="shared" si="18"/>
        <v>0</v>
      </c>
      <c r="H163" s="106">
        <f t="shared" si="19"/>
        <v>504</v>
      </c>
      <c r="I163" s="107"/>
      <c r="J163" s="107"/>
      <c r="K163" s="107"/>
      <c r="L163" s="107"/>
      <c r="M163" s="107"/>
      <c r="N163" s="107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7"/>
      <c r="Z163" s="106"/>
      <c r="AA163" s="106"/>
      <c r="AB163" s="106"/>
      <c r="AC163" s="107"/>
      <c r="AD163" s="107"/>
      <c r="AE163" s="107"/>
      <c r="AF163" s="107"/>
      <c r="AG163" s="107"/>
      <c r="AH163" s="107"/>
      <c r="AI163" s="107"/>
      <c r="AJ163" s="108">
        <v>0</v>
      </c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6"/>
      <c r="AZ163" s="107">
        <v>504</v>
      </c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9"/>
      <c r="BR163" s="109"/>
      <c r="BS163" s="109"/>
      <c r="BT163" s="109"/>
      <c r="BU163" s="138"/>
    </row>
    <row r="164" spans="1:73" ht="40.5" customHeight="1" outlineLevel="2">
      <c r="A164" s="35" t="s">
        <v>47</v>
      </c>
      <c r="B164" s="37" t="s">
        <v>924</v>
      </c>
      <c r="C164" s="20" t="s">
        <v>587</v>
      </c>
      <c r="D164" s="218" t="s">
        <v>112</v>
      </c>
      <c r="E164" s="220" t="s">
        <v>1993</v>
      </c>
      <c r="F164" s="108">
        <f t="shared" si="14"/>
        <v>193.82382</v>
      </c>
      <c r="G164" s="106">
        <f t="shared" si="18"/>
        <v>62.901610000000005</v>
      </c>
      <c r="H164" s="106">
        <f t="shared" si="19"/>
        <v>130.92221</v>
      </c>
      <c r="I164" s="107"/>
      <c r="J164" s="107"/>
      <c r="K164" s="107"/>
      <c r="L164" s="107"/>
      <c r="M164" s="107"/>
      <c r="N164" s="107"/>
      <c r="O164" s="106">
        <v>35.56195</v>
      </c>
      <c r="P164" s="106">
        <v>1.55887</v>
      </c>
      <c r="Q164" s="106"/>
      <c r="R164" s="106"/>
      <c r="S164" s="106"/>
      <c r="T164" s="106"/>
      <c r="U164" s="106"/>
      <c r="V164" s="106"/>
      <c r="W164" s="106"/>
      <c r="X164" s="106"/>
      <c r="Y164" s="107"/>
      <c r="Z164" s="106"/>
      <c r="AA164" s="106"/>
      <c r="AB164" s="106"/>
      <c r="AC164" s="107"/>
      <c r="AD164" s="107"/>
      <c r="AE164" s="107"/>
      <c r="AF164" s="107"/>
      <c r="AG164" s="107"/>
      <c r="AH164" s="107"/>
      <c r="AI164" s="107"/>
      <c r="AJ164" s="108">
        <v>0</v>
      </c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6"/>
      <c r="AZ164" s="107"/>
      <c r="BA164" s="107">
        <v>102.55175</v>
      </c>
      <c r="BB164" s="107"/>
      <c r="BC164" s="107">
        <v>27.33966</v>
      </c>
      <c r="BD164" s="107">
        <v>26.81159</v>
      </c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9"/>
      <c r="BR164" s="109"/>
      <c r="BS164" s="109"/>
      <c r="BT164" s="109"/>
      <c r="BU164" s="138"/>
    </row>
    <row r="165" spans="1:73" ht="40.5" customHeight="1" outlineLevel="2">
      <c r="A165" s="35" t="s">
        <v>47</v>
      </c>
      <c r="B165" s="37" t="s">
        <v>415</v>
      </c>
      <c r="C165" s="20" t="s">
        <v>587</v>
      </c>
      <c r="D165" s="218" t="s">
        <v>1226</v>
      </c>
      <c r="E165" s="220" t="s">
        <v>1994</v>
      </c>
      <c r="F165" s="108">
        <f t="shared" si="14"/>
        <v>2285.37665</v>
      </c>
      <c r="G165" s="106">
        <f t="shared" si="18"/>
        <v>722.66161</v>
      </c>
      <c r="H165" s="106">
        <f t="shared" si="19"/>
        <v>1562.71504</v>
      </c>
      <c r="I165" s="107"/>
      <c r="J165" s="107"/>
      <c r="K165" s="107"/>
      <c r="L165" s="107"/>
      <c r="M165" s="107"/>
      <c r="N165" s="107"/>
      <c r="O165" s="106">
        <v>113.85736</v>
      </c>
      <c r="P165" s="106">
        <v>5.27257</v>
      </c>
      <c r="Q165" s="106"/>
      <c r="R165" s="106"/>
      <c r="S165" s="106"/>
      <c r="T165" s="106"/>
      <c r="U165" s="106"/>
      <c r="V165" s="106"/>
      <c r="W165" s="106"/>
      <c r="X165" s="106"/>
      <c r="Y165" s="107"/>
      <c r="Z165" s="106"/>
      <c r="AA165" s="106"/>
      <c r="AB165" s="106"/>
      <c r="AC165" s="107"/>
      <c r="AD165" s="107"/>
      <c r="AE165" s="107"/>
      <c r="AF165" s="107"/>
      <c r="AG165" s="107"/>
      <c r="AH165" s="107"/>
      <c r="AI165" s="107"/>
      <c r="AJ165" s="108">
        <v>0</v>
      </c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>
        <v>481.92182</v>
      </c>
      <c r="AY165" s="106">
        <v>194.76047</v>
      </c>
      <c r="AZ165" s="107"/>
      <c r="BA165" s="107"/>
      <c r="BB165" s="107"/>
      <c r="BC165" s="107">
        <v>126.88243</v>
      </c>
      <c r="BD165" s="107">
        <v>124.43239</v>
      </c>
      <c r="BE165" s="107"/>
      <c r="BF165" s="107"/>
      <c r="BG165" s="107"/>
      <c r="BH165" s="107"/>
      <c r="BI165" s="107"/>
      <c r="BJ165" s="107">
        <v>1238.24961</v>
      </c>
      <c r="BK165" s="107"/>
      <c r="BL165" s="107"/>
      <c r="BM165" s="107"/>
      <c r="BN165" s="107"/>
      <c r="BO165" s="107"/>
      <c r="BP165" s="107"/>
      <c r="BQ165" s="109"/>
      <c r="BR165" s="109"/>
      <c r="BS165" s="109"/>
      <c r="BT165" s="109"/>
      <c r="BU165" s="138"/>
    </row>
    <row r="166" spans="1:73" ht="40.5" customHeight="1" outlineLevel="2">
      <c r="A166" s="35" t="s">
        <v>47</v>
      </c>
      <c r="B166" s="37" t="s">
        <v>1611</v>
      </c>
      <c r="C166" s="20" t="s">
        <v>587</v>
      </c>
      <c r="D166" s="218" t="s">
        <v>1659</v>
      </c>
      <c r="E166" s="220" t="s">
        <v>1995</v>
      </c>
      <c r="F166" s="108">
        <f t="shared" si="14"/>
        <v>27.640990000000002</v>
      </c>
      <c r="G166" s="106">
        <f t="shared" si="18"/>
        <v>13.95608</v>
      </c>
      <c r="H166" s="106">
        <f t="shared" si="19"/>
        <v>13.68491</v>
      </c>
      <c r="I166" s="107"/>
      <c r="J166" s="107"/>
      <c r="K166" s="107"/>
      <c r="L166" s="107"/>
      <c r="M166" s="107"/>
      <c r="N166" s="107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7"/>
      <c r="Z166" s="106"/>
      <c r="AA166" s="106"/>
      <c r="AB166" s="106"/>
      <c r="AC166" s="107"/>
      <c r="AD166" s="107"/>
      <c r="AE166" s="107"/>
      <c r="AF166" s="107"/>
      <c r="AG166" s="107"/>
      <c r="AH166" s="107"/>
      <c r="AI166" s="107"/>
      <c r="AJ166" s="108">
        <v>0</v>
      </c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6"/>
      <c r="AZ166" s="107"/>
      <c r="BA166" s="107"/>
      <c r="BB166" s="107"/>
      <c r="BC166" s="107">
        <v>13.95608</v>
      </c>
      <c r="BD166" s="107">
        <v>13.68491</v>
      </c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9"/>
      <c r="BR166" s="109"/>
      <c r="BS166" s="109"/>
      <c r="BT166" s="109"/>
      <c r="BU166" s="138"/>
    </row>
    <row r="167" spans="1:73" ht="40.5" customHeight="1" outlineLevel="2">
      <c r="A167" s="35" t="s">
        <v>47</v>
      </c>
      <c r="B167" s="37" t="s">
        <v>726</v>
      </c>
      <c r="C167" s="20" t="s">
        <v>587</v>
      </c>
      <c r="D167" s="218" t="s">
        <v>1466</v>
      </c>
      <c r="E167" s="220" t="s">
        <v>1996</v>
      </c>
      <c r="F167" s="108">
        <f t="shared" si="14"/>
        <v>9.25937</v>
      </c>
      <c r="G167" s="106">
        <f t="shared" si="18"/>
        <v>4.67478</v>
      </c>
      <c r="H167" s="106">
        <f t="shared" si="19"/>
        <v>4.58459</v>
      </c>
      <c r="I167" s="107"/>
      <c r="J167" s="107"/>
      <c r="K167" s="107"/>
      <c r="L167" s="107"/>
      <c r="M167" s="107"/>
      <c r="N167" s="107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7"/>
      <c r="Z167" s="106"/>
      <c r="AA167" s="106"/>
      <c r="AB167" s="106"/>
      <c r="AC167" s="107"/>
      <c r="AD167" s="107"/>
      <c r="AE167" s="107"/>
      <c r="AF167" s="107"/>
      <c r="AG167" s="107"/>
      <c r="AH167" s="107"/>
      <c r="AI167" s="107"/>
      <c r="AJ167" s="108">
        <v>0</v>
      </c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6"/>
      <c r="AZ167" s="107"/>
      <c r="BA167" s="107"/>
      <c r="BB167" s="107"/>
      <c r="BC167" s="107">
        <v>4.67478</v>
      </c>
      <c r="BD167" s="107">
        <v>4.58459</v>
      </c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9"/>
      <c r="BR167" s="109"/>
      <c r="BS167" s="109"/>
      <c r="BT167" s="109"/>
      <c r="BU167" s="138"/>
    </row>
    <row r="168" spans="1:73" ht="40.5" customHeight="1" outlineLevel="2">
      <c r="A168" s="35" t="s">
        <v>47</v>
      </c>
      <c r="B168" s="37" t="s">
        <v>128</v>
      </c>
      <c r="C168" s="20" t="s">
        <v>587</v>
      </c>
      <c r="D168" s="218" t="s">
        <v>1509</v>
      </c>
      <c r="E168" s="220" t="s">
        <v>1997</v>
      </c>
      <c r="F168" s="108">
        <f t="shared" si="14"/>
        <v>91.5324</v>
      </c>
      <c r="G168" s="106">
        <f t="shared" si="18"/>
        <v>11.75469</v>
      </c>
      <c r="H168" s="106">
        <f t="shared" si="19"/>
        <v>79.77771</v>
      </c>
      <c r="I168" s="107"/>
      <c r="J168" s="107"/>
      <c r="K168" s="107"/>
      <c r="L168" s="107"/>
      <c r="M168" s="107"/>
      <c r="N168" s="107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7"/>
      <c r="Z168" s="106"/>
      <c r="AA168" s="159"/>
      <c r="AB168" s="106"/>
      <c r="AC168" s="107"/>
      <c r="AD168" s="107"/>
      <c r="AE168" s="107"/>
      <c r="AF168" s="107"/>
      <c r="AG168" s="107"/>
      <c r="AH168" s="107"/>
      <c r="AI168" s="107"/>
      <c r="AJ168" s="108">
        <v>0</v>
      </c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6"/>
      <c r="AZ168" s="107">
        <v>58.14</v>
      </c>
      <c r="BA168" s="107"/>
      <c r="BB168" s="107"/>
      <c r="BC168" s="107">
        <v>11.75469</v>
      </c>
      <c r="BD168" s="107">
        <v>11.52699</v>
      </c>
      <c r="BE168" s="107"/>
      <c r="BF168" s="107"/>
      <c r="BG168" s="107"/>
      <c r="BH168" s="107"/>
      <c r="BI168" s="107"/>
      <c r="BJ168" s="107">
        <v>10.11072</v>
      </c>
      <c r="BK168" s="107"/>
      <c r="BL168" s="107"/>
      <c r="BM168" s="107"/>
      <c r="BN168" s="107"/>
      <c r="BO168" s="107"/>
      <c r="BP168" s="107"/>
      <c r="BQ168" s="109"/>
      <c r="BR168" s="109"/>
      <c r="BS168" s="109"/>
      <c r="BT168" s="109"/>
      <c r="BU168" s="138"/>
    </row>
    <row r="169" spans="1:73" ht="40.5" customHeight="1" outlineLevel="2">
      <c r="A169" s="35" t="s">
        <v>47</v>
      </c>
      <c r="B169" s="37" t="s">
        <v>127</v>
      </c>
      <c r="C169" s="20" t="s">
        <v>587</v>
      </c>
      <c r="D169" s="218" t="s">
        <v>1467</v>
      </c>
      <c r="E169" s="220" t="s">
        <v>1998</v>
      </c>
      <c r="F169" s="108">
        <f t="shared" si="14"/>
        <v>157.60523</v>
      </c>
      <c r="G169" s="106">
        <f t="shared" si="18"/>
        <v>70.08285</v>
      </c>
      <c r="H169" s="106">
        <f t="shared" si="19"/>
        <v>87.52238</v>
      </c>
      <c r="I169" s="107"/>
      <c r="J169" s="107"/>
      <c r="K169" s="107"/>
      <c r="L169" s="107"/>
      <c r="M169" s="107"/>
      <c r="N169" s="107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7"/>
      <c r="Z169" s="106"/>
      <c r="AA169" s="106">
        <v>1.66695</v>
      </c>
      <c r="AB169" s="106">
        <v>1.18844</v>
      </c>
      <c r="AC169" s="107"/>
      <c r="AD169" s="107"/>
      <c r="AE169" s="107"/>
      <c r="AF169" s="107"/>
      <c r="AG169" s="107"/>
      <c r="AH169" s="107"/>
      <c r="AI169" s="107"/>
      <c r="AJ169" s="108">
        <v>0</v>
      </c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6"/>
      <c r="AZ169" s="107"/>
      <c r="BA169" s="107"/>
      <c r="BB169" s="107"/>
      <c r="BC169" s="107">
        <v>68.4159</v>
      </c>
      <c r="BD169" s="107">
        <v>68.35715</v>
      </c>
      <c r="BE169" s="107"/>
      <c r="BF169" s="107"/>
      <c r="BG169" s="107"/>
      <c r="BH169" s="107"/>
      <c r="BI169" s="107"/>
      <c r="BJ169" s="107">
        <v>17.97679</v>
      </c>
      <c r="BK169" s="107"/>
      <c r="BL169" s="107"/>
      <c r="BM169" s="107"/>
      <c r="BN169" s="107"/>
      <c r="BO169" s="107"/>
      <c r="BP169" s="107"/>
      <c r="BQ169" s="109"/>
      <c r="BR169" s="109"/>
      <c r="BS169" s="109"/>
      <c r="BT169" s="109"/>
      <c r="BU169" s="138"/>
    </row>
    <row r="170" spans="1:73" ht="40.5" customHeight="1" outlineLevel="2">
      <c r="A170" s="35" t="s">
        <v>47</v>
      </c>
      <c r="B170" s="37" t="s">
        <v>1779</v>
      </c>
      <c r="C170" s="20" t="s">
        <v>587</v>
      </c>
      <c r="D170" s="218" t="s">
        <v>1790</v>
      </c>
      <c r="E170" s="220" t="s">
        <v>1999</v>
      </c>
      <c r="F170" s="108">
        <f t="shared" si="14"/>
        <v>1500</v>
      </c>
      <c r="G170" s="106">
        <f t="shared" si="18"/>
        <v>0</v>
      </c>
      <c r="H170" s="106">
        <f t="shared" si="19"/>
        <v>1500</v>
      </c>
      <c r="I170" s="107"/>
      <c r="J170" s="107"/>
      <c r="K170" s="107"/>
      <c r="L170" s="107"/>
      <c r="M170" s="107"/>
      <c r="N170" s="107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7"/>
      <c r="Z170" s="106"/>
      <c r="AA170" s="106"/>
      <c r="AB170" s="106"/>
      <c r="AC170" s="107"/>
      <c r="AD170" s="107"/>
      <c r="AE170" s="107"/>
      <c r="AF170" s="107"/>
      <c r="AG170" s="107"/>
      <c r="AH170" s="107"/>
      <c r="AI170" s="107"/>
      <c r="AJ170" s="108">
        <v>0</v>
      </c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6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9"/>
      <c r="BR170" s="109"/>
      <c r="BS170" s="109">
        <v>1500</v>
      </c>
      <c r="BT170" s="109"/>
      <c r="BU170" s="138"/>
    </row>
    <row r="171" spans="1:73" ht="40.5" customHeight="1" outlineLevel="2">
      <c r="A171" s="35" t="s">
        <v>47</v>
      </c>
      <c r="B171" s="37" t="s">
        <v>720</v>
      </c>
      <c r="C171" s="20" t="s">
        <v>710</v>
      </c>
      <c r="D171" s="218" t="s">
        <v>1465</v>
      </c>
      <c r="E171" s="220" t="s">
        <v>2000</v>
      </c>
      <c r="F171" s="108">
        <f t="shared" si="14"/>
        <v>1812.6209199999998</v>
      </c>
      <c r="G171" s="106">
        <f t="shared" si="18"/>
        <v>897.8476699999999</v>
      </c>
      <c r="H171" s="106">
        <f t="shared" si="19"/>
        <v>914.77325</v>
      </c>
      <c r="I171" s="107"/>
      <c r="J171" s="107"/>
      <c r="K171" s="107">
        <v>580.32476</v>
      </c>
      <c r="L171" s="107">
        <v>139.23353</v>
      </c>
      <c r="M171" s="107"/>
      <c r="N171" s="107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7">
        <v>19.54931</v>
      </c>
      <c r="Z171" s="106">
        <v>163.595</v>
      </c>
      <c r="AA171" s="159">
        <v>41.97133</v>
      </c>
      <c r="AB171" s="106">
        <v>17.82658</v>
      </c>
      <c r="AC171" s="107"/>
      <c r="AD171" s="107"/>
      <c r="AE171" s="107"/>
      <c r="AF171" s="107"/>
      <c r="AG171" s="107"/>
      <c r="AH171" s="107"/>
      <c r="AI171" s="107"/>
      <c r="AJ171" s="108">
        <v>0</v>
      </c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6"/>
      <c r="AZ171" s="107"/>
      <c r="BA171" s="107">
        <v>114.0153</v>
      </c>
      <c r="BB171" s="107"/>
      <c r="BC171" s="107">
        <v>256.00227</v>
      </c>
      <c r="BD171" s="107">
        <v>252.96399</v>
      </c>
      <c r="BE171" s="107"/>
      <c r="BF171" s="107"/>
      <c r="BG171" s="107"/>
      <c r="BH171" s="107"/>
      <c r="BI171" s="107"/>
      <c r="BJ171" s="107">
        <v>227.13885</v>
      </c>
      <c r="BK171" s="107"/>
      <c r="BL171" s="107"/>
      <c r="BM171" s="107"/>
      <c r="BN171" s="107"/>
      <c r="BO171" s="107"/>
      <c r="BP171" s="107"/>
      <c r="BQ171" s="109"/>
      <c r="BR171" s="109"/>
      <c r="BS171" s="109"/>
      <c r="BT171" s="109"/>
      <c r="BU171" s="138"/>
    </row>
    <row r="172" spans="1:73" ht="40.5" customHeight="1" outlineLevel="2">
      <c r="A172" s="35" t="s">
        <v>47</v>
      </c>
      <c r="B172" s="37" t="s">
        <v>722</v>
      </c>
      <c r="C172" s="20" t="s">
        <v>710</v>
      </c>
      <c r="D172" s="218" t="s">
        <v>1201</v>
      </c>
      <c r="E172" s="220" t="s">
        <v>2001</v>
      </c>
      <c r="F172" s="108">
        <f t="shared" si="14"/>
        <v>446.57096</v>
      </c>
      <c r="G172" s="106">
        <f t="shared" si="18"/>
        <v>102.54736</v>
      </c>
      <c r="H172" s="106">
        <f t="shared" si="19"/>
        <v>344.0236</v>
      </c>
      <c r="I172" s="107"/>
      <c r="J172" s="107"/>
      <c r="K172" s="107"/>
      <c r="L172" s="107"/>
      <c r="M172" s="107"/>
      <c r="N172" s="107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7"/>
      <c r="Z172" s="106"/>
      <c r="AA172" s="159">
        <v>4.3958</v>
      </c>
      <c r="AB172" s="106">
        <v>0.93094</v>
      </c>
      <c r="AC172" s="107"/>
      <c r="AD172" s="107"/>
      <c r="AE172" s="107"/>
      <c r="AF172" s="107"/>
      <c r="AG172" s="107"/>
      <c r="AH172" s="107"/>
      <c r="AI172" s="107"/>
      <c r="AJ172" s="108">
        <v>0</v>
      </c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6"/>
      <c r="AZ172" s="107"/>
      <c r="BA172" s="107"/>
      <c r="BB172" s="107"/>
      <c r="BC172" s="107">
        <v>98.15156</v>
      </c>
      <c r="BD172" s="107">
        <v>97.91346</v>
      </c>
      <c r="BE172" s="107"/>
      <c r="BF172" s="107"/>
      <c r="BG172" s="107"/>
      <c r="BH172" s="107"/>
      <c r="BI172" s="107"/>
      <c r="BJ172" s="107"/>
      <c r="BK172" s="107"/>
      <c r="BL172" s="107"/>
      <c r="BM172" s="107">
        <v>245.1792</v>
      </c>
      <c r="BN172" s="107"/>
      <c r="BO172" s="107"/>
      <c r="BP172" s="107"/>
      <c r="BQ172" s="109"/>
      <c r="BR172" s="109"/>
      <c r="BS172" s="109"/>
      <c r="BT172" s="109"/>
      <c r="BU172" s="138"/>
    </row>
    <row r="173" spans="1:73" ht="40.5" customHeight="1" outlineLevel="2">
      <c r="A173" s="35" t="s">
        <v>47</v>
      </c>
      <c r="B173" s="37" t="s">
        <v>721</v>
      </c>
      <c r="C173" s="20" t="s">
        <v>710</v>
      </c>
      <c r="D173" s="218" t="s">
        <v>1510</v>
      </c>
      <c r="E173" s="220" t="s">
        <v>2002</v>
      </c>
      <c r="F173" s="108">
        <f t="shared" si="14"/>
        <v>92.16526999999999</v>
      </c>
      <c r="G173" s="106">
        <f t="shared" si="18"/>
        <v>43.29934</v>
      </c>
      <c r="H173" s="106">
        <f t="shared" si="19"/>
        <v>48.86592999999999</v>
      </c>
      <c r="I173" s="107"/>
      <c r="J173" s="107"/>
      <c r="K173" s="107"/>
      <c r="L173" s="107"/>
      <c r="M173" s="107"/>
      <c r="N173" s="107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7"/>
      <c r="Z173" s="106">
        <v>16.592</v>
      </c>
      <c r="AA173" s="106">
        <v>24.52787</v>
      </c>
      <c r="AB173" s="106">
        <v>13.86512</v>
      </c>
      <c r="AC173" s="107"/>
      <c r="AD173" s="107"/>
      <c r="AE173" s="107"/>
      <c r="AF173" s="107"/>
      <c r="AG173" s="107"/>
      <c r="AH173" s="107"/>
      <c r="AI173" s="107"/>
      <c r="AJ173" s="108">
        <v>0</v>
      </c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6"/>
      <c r="AZ173" s="107"/>
      <c r="BA173" s="107"/>
      <c r="BB173" s="107"/>
      <c r="BC173" s="107">
        <v>18.77147</v>
      </c>
      <c r="BD173" s="107">
        <v>18.40881</v>
      </c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9"/>
      <c r="BR173" s="109"/>
      <c r="BS173" s="109"/>
      <c r="BT173" s="109"/>
      <c r="BU173" s="138"/>
    </row>
    <row r="174" spans="1:73" ht="34.5" customHeight="1" outlineLevel="2">
      <c r="A174" s="35" t="s">
        <v>47</v>
      </c>
      <c r="B174" s="37" t="s">
        <v>555</v>
      </c>
      <c r="C174" s="20" t="s">
        <v>934</v>
      </c>
      <c r="D174" s="218" t="s">
        <v>556</v>
      </c>
      <c r="E174" s="203" t="s">
        <v>2003</v>
      </c>
      <c r="F174" s="108">
        <f t="shared" si="14"/>
        <v>2720.32813</v>
      </c>
      <c r="G174" s="106">
        <f t="shared" si="18"/>
        <v>1306.22177</v>
      </c>
      <c r="H174" s="106">
        <f t="shared" si="19"/>
        <v>1414.10636</v>
      </c>
      <c r="I174" s="107"/>
      <c r="J174" s="107"/>
      <c r="K174" s="107"/>
      <c r="L174" s="107"/>
      <c r="M174" s="107"/>
      <c r="N174" s="107"/>
      <c r="O174" s="106">
        <v>1306.22177</v>
      </c>
      <c r="P174" s="106">
        <v>41.33352</v>
      </c>
      <c r="Q174" s="106"/>
      <c r="R174" s="106"/>
      <c r="S174" s="106"/>
      <c r="T174" s="106"/>
      <c r="U174" s="106"/>
      <c r="V174" s="106"/>
      <c r="W174" s="106"/>
      <c r="X174" s="106"/>
      <c r="Y174" s="107"/>
      <c r="Z174" s="106"/>
      <c r="AA174" s="106"/>
      <c r="AB174" s="106"/>
      <c r="AC174" s="107"/>
      <c r="AD174" s="107"/>
      <c r="AE174" s="107"/>
      <c r="AF174" s="107"/>
      <c r="AG174" s="107"/>
      <c r="AH174" s="107"/>
      <c r="AI174" s="107"/>
      <c r="AJ174" s="108">
        <v>0</v>
      </c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6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>
        <v>1372.77284</v>
      </c>
      <c r="BK174" s="107"/>
      <c r="BL174" s="107"/>
      <c r="BM174" s="107"/>
      <c r="BN174" s="107"/>
      <c r="BO174" s="107"/>
      <c r="BP174" s="107"/>
      <c r="BQ174" s="109"/>
      <c r="BR174" s="109"/>
      <c r="BS174" s="109"/>
      <c r="BT174" s="109"/>
      <c r="BU174" s="138"/>
    </row>
    <row r="175" spans="1:73" ht="32.25" customHeight="1" outlineLevel="2">
      <c r="A175" s="35" t="s">
        <v>47</v>
      </c>
      <c r="B175" s="37" t="s">
        <v>326</v>
      </c>
      <c r="C175" s="20" t="s">
        <v>934</v>
      </c>
      <c r="D175" s="218" t="s">
        <v>327</v>
      </c>
      <c r="E175" s="203" t="s">
        <v>2004</v>
      </c>
      <c r="F175" s="108">
        <f t="shared" si="14"/>
        <v>372.38607</v>
      </c>
      <c r="G175" s="106">
        <f t="shared" si="18"/>
        <v>354.33258</v>
      </c>
      <c r="H175" s="106">
        <f t="shared" si="19"/>
        <v>18.05349</v>
      </c>
      <c r="I175" s="107"/>
      <c r="J175" s="107"/>
      <c r="K175" s="107"/>
      <c r="L175" s="107"/>
      <c r="M175" s="107"/>
      <c r="N175" s="107"/>
      <c r="O175" s="106">
        <v>354.33258</v>
      </c>
      <c r="P175" s="106">
        <v>18.05349</v>
      </c>
      <c r="Q175" s="106"/>
      <c r="R175" s="106"/>
      <c r="S175" s="106"/>
      <c r="T175" s="106"/>
      <c r="U175" s="106"/>
      <c r="V175" s="106"/>
      <c r="W175" s="106"/>
      <c r="X175" s="106"/>
      <c r="Y175" s="107"/>
      <c r="Z175" s="106"/>
      <c r="AA175" s="106"/>
      <c r="AB175" s="106"/>
      <c r="AC175" s="107"/>
      <c r="AD175" s="107"/>
      <c r="AE175" s="107"/>
      <c r="AF175" s="107"/>
      <c r="AG175" s="107"/>
      <c r="AH175" s="107"/>
      <c r="AI175" s="107"/>
      <c r="AJ175" s="108">
        <v>0</v>
      </c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6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9"/>
      <c r="BR175" s="109"/>
      <c r="BS175" s="109"/>
      <c r="BT175" s="109"/>
      <c r="BU175" s="138"/>
    </row>
    <row r="176" spans="1:73" ht="32.25" customHeight="1" outlineLevel="2">
      <c r="A176" s="35" t="s">
        <v>47</v>
      </c>
      <c r="B176" s="37" t="s">
        <v>27</v>
      </c>
      <c r="C176" s="20" t="s">
        <v>934</v>
      </c>
      <c r="D176" s="218" t="s">
        <v>28</v>
      </c>
      <c r="E176" s="203" t="s">
        <v>2005</v>
      </c>
      <c r="F176" s="108">
        <f t="shared" si="14"/>
        <v>92.60335</v>
      </c>
      <c r="G176" s="106">
        <f t="shared" si="18"/>
        <v>0</v>
      </c>
      <c r="H176" s="106">
        <f t="shared" si="19"/>
        <v>92.60335</v>
      </c>
      <c r="I176" s="107"/>
      <c r="J176" s="107"/>
      <c r="K176" s="107"/>
      <c r="L176" s="107"/>
      <c r="M176" s="107"/>
      <c r="N176" s="107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7"/>
      <c r="Z176" s="106"/>
      <c r="AA176" s="106"/>
      <c r="AB176" s="106"/>
      <c r="AC176" s="107"/>
      <c r="AD176" s="107"/>
      <c r="AE176" s="107"/>
      <c r="AF176" s="107"/>
      <c r="AG176" s="107"/>
      <c r="AH176" s="107"/>
      <c r="AI176" s="107"/>
      <c r="AJ176" s="108">
        <v>0</v>
      </c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6"/>
      <c r="AZ176" s="107"/>
      <c r="BA176" s="107">
        <v>92.60335</v>
      </c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9"/>
      <c r="BR176" s="109"/>
      <c r="BS176" s="109"/>
      <c r="BT176" s="109"/>
      <c r="BU176" s="138"/>
    </row>
    <row r="177" spans="1:73" ht="39.75" customHeight="1" outlineLevel="2">
      <c r="A177" s="35" t="s">
        <v>47</v>
      </c>
      <c r="B177" s="39" t="s">
        <v>1712</v>
      </c>
      <c r="C177" s="27" t="s">
        <v>934</v>
      </c>
      <c r="D177" s="219" t="s">
        <v>1725</v>
      </c>
      <c r="E177" s="203" t="s">
        <v>2772</v>
      </c>
      <c r="F177" s="108">
        <f t="shared" si="14"/>
        <v>716.13908</v>
      </c>
      <c r="G177" s="106">
        <f t="shared" si="18"/>
        <v>0</v>
      </c>
      <c r="H177" s="106">
        <f t="shared" si="19"/>
        <v>716.13908</v>
      </c>
      <c r="I177" s="113"/>
      <c r="J177" s="113"/>
      <c r="K177" s="113"/>
      <c r="L177" s="113"/>
      <c r="M177" s="113"/>
      <c r="N177" s="113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3"/>
      <c r="Z177" s="114"/>
      <c r="AA177" s="162"/>
      <c r="AB177" s="114"/>
      <c r="AC177" s="113"/>
      <c r="AD177" s="113"/>
      <c r="AE177" s="113"/>
      <c r="AF177" s="113"/>
      <c r="AG177" s="113"/>
      <c r="AH177" s="113"/>
      <c r="AI177" s="113"/>
      <c r="AJ177" s="108">
        <v>0</v>
      </c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4"/>
      <c r="AZ177" s="113"/>
      <c r="BA177" s="113">
        <f>229.86994+32.20014</f>
        <v>262.07008</v>
      </c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>
        <v>454.069</v>
      </c>
      <c r="BO177" s="113"/>
      <c r="BP177" s="113"/>
      <c r="BQ177" s="115"/>
      <c r="BR177" s="115"/>
      <c r="BS177" s="115"/>
      <c r="BT177" s="115"/>
      <c r="BU177" s="139"/>
    </row>
    <row r="178" spans="1:73" ht="60.75" outlineLevel="2">
      <c r="A178" s="35" t="s">
        <v>47</v>
      </c>
      <c r="B178" s="37" t="s">
        <v>667</v>
      </c>
      <c r="C178" s="20" t="s">
        <v>1422</v>
      </c>
      <c r="D178" s="218" t="s">
        <v>2785</v>
      </c>
      <c r="E178" s="203" t="s">
        <v>2784</v>
      </c>
      <c r="F178" s="108">
        <f t="shared" si="14"/>
        <v>5264.77632</v>
      </c>
      <c r="G178" s="106">
        <f t="shared" si="18"/>
        <v>0</v>
      </c>
      <c r="H178" s="106">
        <f t="shared" si="19"/>
        <v>5264.77632</v>
      </c>
      <c r="I178" s="107"/>
      <c r="J178" s="107"/>
      <c r="K178" s="107"/>
      <c r="L178" s="107"/>
      <c r="M178" s="107"/>
      <c r="N178" s="107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7"/>
      <c r="Z178" s="107"/>
      <c r="AA178" s="159"/>
      <c r="AB178" s="106"/>
      <c r="AC178" s="107"/>
      <c r="AD178" s="107"/>
      <c r="AE178" s="107"/>
      <c r="AF178" s="107"/>
      <c r="AG178" s="107"/>
      <c r="AH178" s="201">
        <f>466.46+393.4</f>
        <v>859.8599999999999</v>
      </c>
      <c r="AI178" s="107"/>
      <c r="AJ178" s="108">
        <v>70.59451999999999</v>
      </c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6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>
        <f>1270.15+700.48+2363.6918</f>
        <v>4334.3218</v>
      </c>
      <c r="BL178" s="107"/>
      <c r="BM178" s="107"/>
      <c r="BN178" s="107"/>
      <c r="BO178" s="107"/>
      <c r="BP178" s="107"/>
      <c r="BQ178" s="109"/>
      <c r="BR178" s="109"/>
      <c r="BS178" s="109"/>
      <c r="BT178" s="109"/>
      <c r="BU178" s="138"/>
    </row>
    <row r="179" spans="1:73" s="32" customFormat="1" ht="21" outlineLevel="1" thickBot="1">
      <c r="A179" s="65" t="s">
        <v>522</v>
      </c>
      <c r="B179" s="66"/>
      <c r="C179" s="67" t="s">
        <v>1572</v>
      </c>
      <c r="D179" s="231"/>
      <c r="E179" s="232"/>
      <c r="F179" s="122">
        <f aca="true" t="shared" si="20" ref="F179:AL179">SUBTOTAL(9,F132:F178)</f>
        <v>53755.78356999998</v>
      </c>
      <c r="G179" s="122">
        <f t="shared" si="20"/>
        <v>8947.10156</v>
      </c>
      <c r="H179" s="122">
        <f t="shared" si="20"/>
        <v>44808.68200999999</v>
      </c>
      <c r="I179" s="122">
        <f t="shared" si="20"/>
        <v>0</v>
      </c>
      <c r="J179" s="122">
        <f t="shared" si="20"/>
        <v>0</v>
      </c>
      <c r="K179" s="122">
        <f t="shared" si="20"/>
        <v>634.23227</v>
      </c>
      <c r="L179" s="122">
        <f t="shared" si="20"/>
        <v>152.71041</v>
      </c>
      <c r="M179" s="122">
        <f t="shared" si="20"/>
        <v>0</v>
      </c>
      <c r="N179" s="122">
        <f t="shared" si="20"/>
        <v>0</v>
      </c>
      <c r="O179" s="122">
        <f t="shared" si="20"/>
        <v>2113.85883</v>
      </c>
      <c r="P179" s="122">
        <f t="shared" si="20"/>
        <v>77.6289</v>
      </c>
      <c r="Q179" s="122">
        <f t="shared" si="20"/>
        <v>2054.4156900000003</v>
      </c>
      <c r="R179" s="122">
        <f t="shared" si="20"/>
        <v>0</v>
      </c>
      <c r="S179" s="122">
        <f t="shared" si="20"/>
        <v>0</v>
      </c>
      <c r="T179" s="122">
        <f t="shared" si="20"/>
        <v>0</v>
      </c>
      <c r="U179" s="122">
        <f t="shared" si="20"/>
        <v>271.23287</v>
      </c>
      <c r="V179" s="122">
        <f t="shared" si="20"/>
        <v>135.61644</v>
      </c>
      <c r="W179" s="122">
        <f t="shared" si="20"/>
        <v>0</v>
      </c>
      <c r="X179" s="122">
        <f t="shared" si="20"/>
        <v>0</v>
      </c>
      <c r="Y179" s="122">
        <f t="shared" si="20"/>
        <v>19.54931</v>
      </c>
      <c r="Z179" s="122">
        <f t="shared" si="20"/>
        <v>305.13145</v>
      </c>
      <c r="AA179" s="122">
        <f t="shared" si="20"/>
        <v>604.3139800000001</v>
      </c>
      <c r="AB179" s="122">
        <f t="shared" si="20"/>
        <v>265.53679</v>
      </c>
      <c r="AC179" s="122">
        <f t="shared" si="20"/>
        <v>0</v>
      </c>
      <c r="AD179" s="122">
        <f t="shared" si="20"/>
        <v>0</v>
      </c>
      <c r="AE179" s="122">
        <f t="shared" si="20"/>
        <v>0</v>
      </c>
      <c r="AF179" s="122">
        <f t="shared" si="20"/>
        <v>0</v>
      </c>
      <c r="AG179" s="122">
        <f t="shared" si="20"/>
        <v>0</v>
      </c>
      <c r="AH179" s="122">
        <f t="shared" si="20"/>
        <v>859.8599999999999</v>
      </c>
      <c r="AI179" s="122">
        <f t="shared" si="20"/>
        <v>0</v>
      </c>
      <c r="AJ179" s="122">
        <f>SUBTOTAL(9,AJ132:AJ178)</f>
        <v>880.90844</v>
      </c>
      <c r="AK179" s="122"/>
      <c r="AL179" s="122">
        <f t="shared" si="20"/>
        <v>0</v>
      </c>
      <c r="AM179" s="122">
        <f aca="true" t="shared" si="21" ref="AM179:BJ179">SUBTOTAL(9,AM132:AM178)</f>
        <v>0</v>
      </c>
      <c r="AN179" s="122">
        <f t="shared" si="21"/>
        <v>0</v>
      </c>
      <c r="AO179" s="122">
        <f t="shared" si="21"/>
        <v>0</v>
      </c>
      <c r="AP179" s="122">
        <f t="shared" si="21"/>
        <v>0</v>
      </c>
      <c r="AQ179" s="122">
        <f t="shared" si="21"/>
        <v>0</v>
      </c>
      <c r="AR179" s="122">
        <f t="shared" si="21"/>
        <v>0</v>
      </c>
      <c r="AS179" s="122">
        <f t="shared" si="21"/>
        <v>0</v>
      </c>
      <c r="AT179" s="122">
        <f t="shared" si="21"/>
        <v>0</v>
      </c>
      <c r="AU179" s="122">
        <f t="shared" si="21"/>
        <v>871.7</v>
      </c>
      <c r="AV179" s="122">
        <f t="shared" si="21"/>
        <v>141.44</v>
      </c>
      <c r="AW179" s="122">
        <f t="shared" si="21"/>
        <v>0</v>
      </c>
      <c r="AX179" s="122">
        <f t="shared" si="21"/>
        <v>1247.72937</v>
      </c>
      <c r="AY179" s="122">
        <f t="shared" si="21"/>
        <v>522.66057</v>
      </c>
      <c r="AZ179" s="122">
        <f t="shared" si="21"/>
        <v>2736.279</v>
      </c>
      <c r="BA179" s="122">
        <f t="shared" si="21"/>
        <v>11295.907249999998</v>
      </c>
      <c r="BB179" s="122">
        <f t="shared" si="21"/>
        <v>0</v>
      </c>
      <c r="BC179" s="122">
        <f t="shared" si="21"/>
        <v>4056.1849300000013</v>
      </c>
      <c r="BD179" s="122">
        <f t="shared" si="21"/>
        <v>3764.222169999999</v>
      </c>
      <c r="BE179" s="122">
        <f t="shared" si="21"/>
        <v>0</v>
      </c>
      <c r="BF179" s="122">
        <f t="shared" si="21"/>
        <v>0</v>
      </c>
      <c r="BG179" s="122">
        <f t="shared" si="21"/>
        <v>0</v>
      </c>
      <c r="BH179" s="122">
        <f t="shared" si="21"/>
        <v>0</v>
      </c>
      <c r="BI179" s="122">
        <f t="shared" si="21"/>
        <v>0</v>
      </c>
      <c r="BJ179" s="122">
        <f t="shared" si="21"/>
        <v>3249.82729</v>
      </c>
      <c r="BK179" s="122"/>
      <c r="BL179" s="122">
        <f aca="true" t="shared" si="22" ref="BL179:BU179">SUBTOTAL(9,BL132:BL178)</f>
        <v>0</v>
      </c>
      <c r="BM179" s="122">
        <f t="shared" si="22"/>
        <v>1881.4468099999997</v>
      </c>
      <c r="BN179" s="122">
        <f t="shared" si="22"/>
        <v>454.069</v>
      </c>
      <c r="BO179" s="122">
        <f t="shared" si="22"/>
        <v>0</v>
      </c>
      <c r="BP179" s="122">
        <f t="shared" si="22"/>
        <v>0</v>
      </c>
      <c r="BQ179" s="122">
        <f t="shared" si="22"/>
        <v>0</v>
      </c>
      <c r="BR179" s="122">
        <f t="shared" si="22"/>
        <v>0</v>
      </c>
      <c r="BS179" s="122">
        <f t="shared" si="22"/>
        <v>1500</v>
      </c>
      <c r="BT179" s="122">
        <f t="shared" si="22"/>
        <v>0</v>
      </c>
      <c r="BU179" s="122">
        <f t="shared" si="22"/>
        <v>9325</v>
      </c>
    </row>
    <row r="180" spans="1:73" ht="39.75" customHeight="1" outlineLevel="2">
      <c r="A180" s="2" t="s">
        <v>782</v>
      </c>
      <c r="B180" s="33" t="s">
        <v>1512</v>
      </c>
      <c r="C180" s="4" t="s">
        <v>587</v>
      </c>
      <c r="D180" s="218" t="s">
        <v>2008</v>
      </c>
      <c r="E180" s="233" t="s">
        <v>2006</v>
      </c>
      <c r="F180" s="108">
        <f aca="true" t="shared" si="23" ref="F180:F235">G180+H180</f>
        <v>146.5368</v>
      </c>
      <c r="G180" s="106">
        <f>I180+K180+O180+S180+U180+W180+Y180+AA180+AC180+AE180+AR180+AX180+BC180+BG180+BP180+BR180+BT180+AO180</f>
        <v>0</v>
      </c>
      <c r="H180" s="106">
        <f>J180+L180+M180+N180+P180+Q180+R180+T180+V180+X180+Z180+AB180+AD180+AF180+AG180+AJ180+AL180+AS180+AT180+AU180+AV180+AW180+AY180+AZ180+BA180+BB180+BD180+BE180+BF180+BH180+BI180+BJ180+BL180+BM180+BN180+BO180+BQ180+BS180+BU180+AH180+AI180+AK180+AM180+AN180+AP180+AQ180+BK180</f>
        <v>146.5368</v>
      </c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0"/>
      <c r="AB180" s="120"/>
      <c r="AC180" s="123"/>
      <c r="AD180" s="123"/>
      <c r="AE180" s="123"/>
      <c r="AF180" s="123"/>
      <c r="AG180" s="123"/>
      <c r="AH180" s="123"/>
      <c r="AI180" s="123"/>
      <c r="AJ180" s="108">
        <v>0</v>
      </c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0">
        <v>49.92</v>
      </c>
      <c r="AW180" s="123"/>
      <c r="AX180" s="123"/>
      <c r="AY180" s="120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19"/>
      <c r="BM180" s="119">
        <v>96.6168</v>
      </c>
      <c r="BN180" s="119"/>
      <c r="BO180" s="119"/>
      <c r="BP180" s="119"/>
      <c r="BQ180" s="121"/>
      <c r="BR180" s="121"/>
      <c r="BS180" s="121"/>
      <c r="BT180" s="121"/>
      <c r="BU180" s="140"/>
    </row>
    <row r="181" spans="1:73" ht="39.75" customHeight="1" outlineLevel="2">
      <c r="A181" s="35" t="s">
        <v>782</v>
      </c>
      <c r="B181" s="37" t="s">
        <v>1513</v>
      </c>
      <c r="C181" s="20" t="s">
        <v>587</v>
      </c>
      <c r="D181" s="218" t="s">
        <v>2009</v>
      </c>
      <c r="E181" s="220" t="s">
        <v>2007</v>
      </c>
      <c r="F181" s="108">
        <f t="shared" si="23"/>
        <v>66.56</v>
      </c>
      <c r="G181" s="106">
        <f aca="true" t="shared" si="24" ref="G181:G187">I181+K181+O181+S181+U181+W181+Y181+AA181+AC181+AE181+AR181+AX181+BC181+BG181+BP181+BR181+BT181+AO181</f>
        <v>0</v>
      </c>
      <c r="H181" s="106">
        <f aca="true" t="shared" si="25" ref="H181:H187">J181+L181+M181+N181+P181+Q181+R181+T181+V181+X181+Z181+AB181+AD181+AF181+AG181+AJ181+AL181+AS181+AT181+AU181+AV181+AW181+AY181+AZ181+BA181+BB181+BD181+BE181+BF181+BH181+BI181+BJ181+BL181+BM181+BN181+BO181+BQ181+BS181+BU181+AH181+AI181+AK181+AM181+AN181+AP181+AQ181+BK181</f>
        <v>66.56</v>
      </c>
      <c r="I181" s="107"/>
      <c r="J181" s="107"/>
      <c r="K181" s="107"/>
      <c r="L181" s="107"/>
      <c r="M181" s="107"/>
      <c r="N181" s="107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7"/>
      <c r="Z181" s="107"/>
      <c r="AA181" s="106"/>
      <c r="AB181" s="106"/>
      <c r="AC181" s="107"/>
      <c r="AD181" s="107"/>
      <c r="AE181" s="107"/>
      <c r="AF181" s="107"/>
      <c r="AG181" s="107"/>
      <c r="AH181" s="107"/>
      <c r="AI181" s="107"/>
      <c r="AJ181" s="108">
        <v>0</v>
      </c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>
        <v>66.56</v>
      </c>
      <c r="AW181" s="107"/>
      <c r="AX181" s="107"/>
      <c r="AY181" s="106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9"/>
      <c r="BR181" s="109"/>
      <c r="BS181" s="109"/>
      <c r="BT181" s="109"/>
      <c r="BU181" s="138"/>
    </row>
    <row r="182" spans="1:73" ht="39.75" customHeight="1" outlineLevel="2">
      <c r="A182" s="35" t="s">
        <v>782</v>
      </c>
      <c r="B182" s="37" t="s">
        <v>387</v>
      </c>
      <c r="C182" s="20" t="s">
        <v>587</v>
      </c>
      <c r="D182" s="218" t="s">
        <v>1581</v>
      </c>
      <c r="E182" s="220" t="s">
        <v>2012</v>
      </c>
      <c r="F182" s="108">
        <f t="shared" si="23"/>
        <v>199.21471</v>
      </c>
      <c r="G182" s="106">
        <f t="shared" si="24"/>
        <v>0</v>
      </c>
      <c r="H182" s="106">
        <f t="shared" si="25"/>
        <v>199.21471</v>
      </c>
      <c r="I182" s="107"/>
      <c r="J182" s="107"/>
      <c r="K182" s="107"/>
      <c r="L182" s="107"/>
      <c r="M182" s="107"/>
      <c r="N182" s="107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7"/>
      <c r="Z182" s="107"/>
      <c r="AA182" s="106"/>
      <c r="AB182" s="106"/>
      <c r="AC182" s="107"/>
      <c r="AD182" s="107"/>
      <c r="AE182" s="107"/>
      <c r="AF182" s="107"/>
      <c r="AG182" s="107"/>
      <c r="AH182" s="107"/>
      <c r="AI182" s="107"/>
      <c r="AJ182" s="108">
        <v>0</v>
      </c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>
        <v>83.2</v>
      </c>
      <c r="AW182" s="107"/>
      <c r="AX182" s="107"/>
      <c r="AY182" s="106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>
        <v>116.01471</v>
      </c>
      <c r="BN182" s="107"/>
      <c r="BO182" s="107"/>
      <c r="BP182" s="107"/>
      <c r="BQ182" s="109"/>
      <c r="BR182" s="109"/>
      <c r="BS182" s="109"/>
      <c r="BT182" s="109"/>
      <c r="BU182" s="138"/>
    </row>
    <row r="183" spans="1:73" ht="39.75" customHeight="1" outlineLevel="2">
      <c r="A183" s="35" t="s">
        <v>782</v>
      </c>
      <c r="B183" s="37" t="s">
        <v>1730</v>
      </c>
      <c r="C183" s="20" t="s">
        <v>587</v>
      </c>
      <c r="D183" s="218" t="s">
        <v>1732</v>
      </c>
      <c r="E183" s="220" t="s">
        <v>2013</v>
      </c>
      <c r="F183" s="108">
        <f t="shared" si="23"/>
        <v>79.023</v>
      </c>
      <c r="G183" s="106">
        <f t="shared" si="24"/>
        <v>0</v>
      </c>
      <c r="H183" s="106">
        <f t="shared" si="25"/>
        <v>79.023</v>
      </c>
      <c r="I183" s="107"/>
      <c r="J183" s="107"/>
      <c r="K183" s="107"/>
      <c r="L183" s="107"/>
      <c r="M183" s="107"/>
      <c r="N183" s="107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7"/>
      <c r="Z183" s="107"/>
      <c r="AA183" s="106"/>
      <c r="AB183" s="106"/>
      <c r="AC183" s="107"/>
      <c r="AD183" s="107"/>
      <c r="AE183" s="107"/>
      <c r="AF183" s="107"/>
      <c r="AG183" s="107"/>
      <c r="AH183" s="107"/>
      <c r="AI183" s="107"/>
      <c r="AJ183" s="108">
        <v>0</v>
      </c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6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>
        <v>79.023</v>
      </c>
      <c r="BN183" s="107"/>
      <c r="BO183" s="107"/>
      <c r="BP183" s="107"/>
      <c r="BQ183" s="109"/>
      <c r="BR183" s="109"/>
      <c r="BS183" s="109"/>
      <c r="BT183" s="109"/>
      <c r="BU183" s="138"/>
    </row>
    <row r="184" spans="1:73" ht="39.75" customHeight="1" outlineLevel="2">
      <c r="A184" s="35" t="s">
        <v>782</v>
      </c>
      <c r="B184" s="37" t="s">
        <v>1514</v>
      </c>
      <c r="C184" s="20" t="s">
        <v>587</v>
      </c>
      <c r="D184" s="218" t="s">
        <v>138</v>
      </c>
      <c r="E184" s="220" t="s">
        <v>2014</v>
      </c>
      <c r="F184" s="108">
        <f t="shared" si="23"/>
        <v>547.65317</v>
      </c>
      <c r="G184" s="106">
        <f t="shared" si="24"/>
        <v>0</v>
      </c>
      <c r="H184" s="106">
        <f t="shared" si="25"/>
        <v>547.65317</v>
      </c>
      <c r="I184" s="107"/>
      <c r="J184" s="107"/>
      <c r="K184" s="107"/>
      <c r="L184" s="107"/>
      <c r="M184" s="107"/>
      <c r="N184" s="107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7"/>
      <c r="Z184" s="107"/>
      <c r="AA184" s="106"/>
      <c r="AB184" s="106"/>
      <c r="AC184" s="107"/>
      <c r="AD184" s="107"/>
      <c r="AE184" s="107"/>
      <c r="AF184" s="107"/>
      <c r="AG184" s="107"/>
      <c r="AH184" s="107"/>
      <c r="AI184" s="107"/>
      <c r="AJ184" s="108">
        <v>0</v>
      </c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>
        <v>74.88</v>
      </c>
      <c r="AW184" s="107"/>
      <c r="AX184" s="107"/>
      <c r="AY184" s="106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>
        <v>472.77317</v>
      </c>
      <c r="BN184" s="107"/>
      <c r="BO184" s="107"/>
      <c r="BP184" s="107"/>
      <c r="BQ184" s="109"/>
      <c r="BR184" s="109"/>
      <c r="BS184" s="109"/>
      <c r="BT184" s="109"/>
      <c r="BU184" s="138"/>
    </row>
    <row r="185" spans="1:73" ht="39.75" customHeight="1" outlineLevel="2">
      <c r="A185" s="35" t="s">
        <v>782</v>
      </c>
      <c r="B185" s="37" t="s">
        <v>1515</v>
      </c>
      <c r="C185" s="20" t="s">
        <v>587</v>
      </c>
      <c r="D185" s="218" t="s">
        <v>2010</v>
      </c>
      <c r="E185" s="220" t="s">
        <v>2015</v>
      </c>
      <c r="F185" s="108">
        <f t="shared" si="23"/>
        <v>83.2</v>
      </c>
      <c r="G185" s="106">
        <f t="shared" si="24"/>
        <v>0</v>
      </c>
      <c r="H185" s="106">
        <f t="shared" si="25"/>
        <v>83.2</v>
      </c>
      <c r="I185" s="107"/>
      <c r="J185" s="107"/>
      <c r="K185" s="107"/>
      <c r="L185" s="107"/>
      <c r="M185" s="107"/>
      <c r="N185" s="107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7"/>
      <c r="Z185" s="107"/>
      <c r="AA185" s="106"/>
      <c r="AB185" s="106"/>
      <c r="AC185" s="107"/>
      <c r="AD185" s="107"/>
      <c r="AE185" s="107"/>
      <c r="AF185" s="107"/>
      <c r="AG185" s="107"/>
      <c r="AH185" s="107"/>
      <c r="AI185" s="107"/>
      <c r="AJ185" s="108">
        <v>0</v>
      </c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>
        <v>83.2</v>
      </c>
      <c r="AW185" s="107"/>
      <c r="AX185" s="107"/>
      <c r="AY185" s="106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9"/>
      <c r="BR185" s="109"/>
      <c r="BS185" s="109"/>
      <c r="BT185" s="109"/>
      <c r="BU185" s="138"/>
    </row>
    <row r="186" spans="1:73" ht="39.75" customHeight="1" outlineLevel="2">
      <c r="A186" s="35" t="s">
        <v>782</v>
      </c>
      <c r="B186" s="37" t="s">
        <v>354</v>
      </c>
      <c r="C186" s="20" t="s">
        <v>587</v>
      </c>
      <c r="D186" s="218" t="s">
        <v>1582</v>
      </c>
      <c r="E186" s="220" t="s">
        <v>2016</v>
      </c>
      <c r="F186" s="108">
        <f t="shared" si="23"/>
        <v>238.38109</v>
      </c>
      <c r="G186" s="106">
        <f t="shared" si="24"/>
        <v>0</v>
      </c>
      <c r="H186" s="106">
        <f t="shared" si="25"/>
        <v>238.38109</v>
      </c>
      <c r="I186" s="107"/>
      <c r="J186" s="107"/>
      <c r="K186" s="107"/>
      <c r="L186" s="107"/>
      <c r="M186" s="107"/>
      <c r="N186" s="107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7"/>
      <c r="Z186" s="107"/>
      <c r="AA186" s="106"/>
      <c r="AB186" s="106"/>
      <c r="AC186" s="107"/>
      <c r="AD186" s="107"/>
      <c r="AE186" s="107"/>
      <c r="AF186" s="107"/>
      <c r="AG186" s="107"/>
      <c r="AH186" s="107"/>
      <c r="AI186" s="107"/>
      <c r="AJ186" s="108">
        <v>0</v>
      </c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6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>
        <v>238.38109</v>
      </c>
      <c r="BN186" s="107"/>
      <c r="BO186" s="107"/>
      <c r="BP186" s="107"/>
      <c r="BQ186" s="109"/>
      <c r="BR186" s="109"/>
      <c r="BS186" s="109"/>
      <c r="BT186" s="109"/>
      <c r="BU186" s="138"/>
    </row>
    <row r="187" spans="1:73" ht="39.75" customHeight="1" outlineLevel="2" thickBot="1">
      <c r="A187" s="35" t="s">
        <v>782</v>
      </c>
      <c r="B187" s="37" t="s">
        <v>1511</v>
      </c>
      <c r="C187" s="20" t="s">
        <v>587</v>
      </c>
      <c r="D187" s="218" t="s">
        <v>2011</v>
      </c>
      <c r="E187" s="220" t="s">
        <v>2017</v>
      </c>
      <c r="F187" s="108">
        <f t="shared" si="23"/>
        <v>58.24</v>
      </c>
      <c r="G187" s="106">
        <f t="shared" si="24"/>
        <v>0</v>
      </c>
      <c r="H187" s="106">
        <f t="shared" si="25"/>
        <v>58.24</v>
      </c>
      <c r="I187" s="107"/>
      <c r="J187" s="107"/>
      <c r="K187" s="107"/>
      <c r="L187" s="107"/>
      <c r="M187" s="107"/>
      <c r="N187" s="107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7"/>
      <c r="Z187" s="107"/>
      <c r="AA187" s="106"/>
      <c r="AB187" s="106"/>
      <c r="AC187" s="107"/>
      <c r="AD187" s="107"/>
      <c r="AE187" s="107"/>
      <c r="AF187" s="107"/>
      <c r="AG187" s="107"/>
      <c r="AH187" s="107"/>
      <c r="AI187" s="107"/>
      <c r="AJ187" s="108">
        <v>0</v>
      </c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>
        <v>58.24</v>
      </c>
      <c r="AW187" s="107"/>
      <c r="AX187" s="107"/>
      <c r="AY187" s="106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9"/>
      <c r="BR187" s="109"/>
      <c r="BS187" s="109"/>
      <c r="BT187" s="109"/>
      <c r="BU187" s="138"/>
    </row>
    <row r="188" spans="1:73" s="32" customFormat="1" ht="21" outlineLevel="1" thickBot="1">
      <c r="A188" s="40" t="s">
        <v>783</v>
      </c>
      <c r="B188" s="41"/>
      <c r="C188" s="30" t="s">
        <v>1572</v>
      </c>
      <c r="D188" s="234"/>
      <c r="E188" s="235"/>
      <c r="F188" s="117">
        <f aca="true" t="shared" si="26" ref="F188:AL188">SUBTOTAL(9,F180:F187)</f>
        <v>1418.8087700000003</v>
      </c>
      <c r="G188" s="117">
        <f t="shared" si="26"/>
        <v>0</v>
      </c>
      <c r="H188" s="117">
        <f t="shared" si="26"/>
        <v>1418.8087700000003</v>
      </c>
      <c r="I188" s="117">
        <f t="shared" si="26"/>
        <v>0</v>
      </c>
      <c r="J188" s="117">
        <f t="shared" si="26"/>
        <v>0</v>
      </c>
      <c r="K188" s="117">
        <f t="shared" si="26"/>
        <v>0</v>
      </c>
      <c r="L188" s="117">
        <f t="shared" si="26"/>
        <v>0</v>
      </c>
      <c r="M188" s="117">
        <f t="shared" si="26"/>
        <v>0</v>
      </c>
      <c r="N188" s="117">
        <f t="shared" si="26"/>
        <v>0</v>
      </c>
      <c r="O188" s="117">
        <f t="shared" si="26"/>
        <v>0</v>
      </c>
      <c r="P188" s="117">
        <f t="shared" si="26"/>
        <v>0</v>
      </c>
      <c r="Q188" s="117">
        <f t="shared" si="26"/>
        <v>0</v>
      </c>
      <c r="R188" s="117">
        <f t="shared" si="26"/>
        <v>0</v>
      </c>
      <c r="S188" s="117">
        <f t="shared" si="26"/>
        <v>0</v>
      </c>
      <c r="T188" s="117">
        <f t="shared" si="26"/>
        <v>0</v>
      </c>
      <c r="U188" s="117">
        <f t="shared" si="26"/>
        <v>0</v>
      </c>
      <c r="V188" s="117">
        <f t="shared" si="26"/>
        <v>0</v>
      </c>
      <c r="W188" s="117">
        <f t="shared" si="26"/>
        <v>0</v>
      </c>
      <c r="X188" s="117">
        <f t="shared" si="26"/>
        <v>0</v>
      </c>
      <c r="Y188" s="117">
        <f t="shared" si="26"/>
        <v>0</v>
      </c>
      <c r="Z188" s="117">
        <f t="shared" si="26"/>
        <v>0</v>
      </c>
      <c r="AA188" s="117">
        <f t="shared" si="26"/>
        <v>0</v>
      </c>
      <c r="AB188" s="117">
        <f t="shared" si="26"/>
        <v>0</v>
      </c>
      <c r="AC188" s="117">
        <f t="shared" si="26"/>
        <v>0</v>
      </c>
      <c r="AD188" s="117">
        <f t="shared" si="26"/>
        <v>0</v>
      </c>
      <c r="AE188" s="117">
        <f t="shared" si="26"/>
        <v>0</v>
      </c>
      <c r="AF188" s="117">
        <f t="shared" si="26"/>
        <v>0</v>
      </c>
      <c r="AG188" s="117">
        <f t="shared" si="26"/>
        <v>0</v>
      </c>
      <c r="AH188" s="117">
        <f t="shared" si="26"/>
        <v>0</v>
      </c>
      <c r="AI188" s="117">
        <f t="shared" si="26"/>
        <v>0</v>
      </c>
      <c r="AJ188" s="117">
        <f t="shared" si="26"/>
        <v>0</v>
      </c>
      <c r="AK188" s="117"/>
      <c r="AL188" s="117">
        <f t="shared" si="26"/>
        <v>0</v>
      </c>
      <c r="AM188" s="117">
        <f aca="true" t="shared" si="27" ref="AM188:BJ188">SUBTOTAL(9,AM180:AM187)</f>
        <v>0</v>
      </c>
      <c r="AN188" s="117">
        <f t="shared" si="27"/>
        <v>0</v>
      </c>
      <c r="AO188" s="117">
        <f t="shared" si="27"/>
        <v>0</v>
      </c>
      <c r="AP188" s="117">
        <f t="shared" si="27"/>
        <v>0</v>
      </c>
      <c r="AQ188" s="117">
        <f t="shared" si="27"/>
        <v>0</v>
      </c>
      <c r="AR188" s="117">
        <f t="shared" si="27"/>
        <v>0</v>
      </c>
      <c r="AS188" s="117">
        <f t="shared" si="27"/>
        <v>0</v>
      </c>
      <c r="AT188" s="117">
        <f t="shared" si="27"/>
        <v>0</v>
      </c>
      <c r="AU188" s="117">
        <f t="shared" si="27"/>
        <v>0</v>
      </c>
      <c r="AV188" s="117">
        <f t="shared" si="27"/>
        <v>416</v>
      </c>
      <c r="AW188" s="117">
        <f t="shared" si="27"/>
        <v>0</v>
      </c>
      <c r="AX188" s="117">
        <f t="shared" si="27"/>
        <v>0</v>
      </c>
      <c r="AY188" s="117">
        <f t="shared" si="27"/>
        <v>0</v>
      </c>
      <c r="AZ188" s="117">
        <f t="shared" si="27"/>
        <v>0</v>
      </c>
      <c r="BA188" s="117">
        <f t="shared" si="27"/>
        <v>0</v>
      </c>
      <c r="BB188" s="117">
        <f t="shared" si="27"/>
        <v>0</v>
      </c>
      <c r="BC188" s="117">
        <f t="shared" si="27"/>
        <v>0</v>
      </c>
      <c r="BD188" s="117">
        <f t="shared" si="27"/>
        <v>0</v>
      </c>
      <c r="BE188" s="117">
        <f t="shared" si="27"/>
        <v>0</v>
      </c>
      <c r="BF188" s="117">
        <f t="shared" si="27"/>
        <v>0</v>
      </c>
      <c r="BG188" s="117">
        <f t="shared" si="27"/>
        <v>0</v>
      </c>
      <c r="BH188" s="117">
        <f t="shared" si="27"/>
        <v>0</v>
      </c>
      <c r="BI188" s="117">
        <f t="shared" si="27"/>
        <v>0</v>
      </c>
      <c r="BJ188" s="117">
        <f t="shared" si="27"/>
        <v>0</v>
      </c>
      <c r="BK188" s="117"/>
      <c r="BL188" s="117">
        <f aca="true" t="shared" si="28" ref="BL188:BU188">SUBTOTAL(9,BL180:BL187)</f>
        <v>0</v>
      </c>
      <c r="BM188" s="117">
        <f t="shared" si="28"/>
        <v>1002.80877</v>
      </c>
      <c r="BN188" s="117">
        <f t="shared" si="28"/>
        <v>0</v>
      </c>
      <c r="BO188" s="117">
        <f t="shared" si="28"/>
        <v>0</v>
      </c>
      <c r="BP188" s="117">
        <f t="shared" si="28"/>
        <v>0</v>
      </c>
      <c r="BQ188" s="117">
        <f t="shared" si="28"/>
        <v>0</v>
      </c>
      <c r="BR188" s="117">
        <f t="shared" si="28"/>
        <v>0</v>
      </c>
      <c r="BS188" s="117">
        <f t="shared" si="28"/>
        <v>0</v>
      </c>
      <c r="BT188" s="117">
        <f t="shared" si="28"/>
        <v>0</v>
      </c>
      <c r="BU188" s="117">
        <f t="shared" si="28"/>
        <v>0</v>
      </c>
    </row>
    <row r="189" spans="1:73" ht="66" outlineLevel="2">
      <c r="A189" s="24" t="s">
        <v>523</v>
      </c>
      <c r="B189" s="3" t="s">
        <v>452</v>
      </c>
      <c r="C189" s="20" t="s">
        <v>1496</v>
      </c>
      <c r="D189" s="218" t="s">
        <v>2786</v>
      </c>
      <c r="E189" s="203" t="s">
        <v>2031</v>
      </c>
      <c r="F189" s="108">
        <f t="shared" si="23"/>
        <v>208250.79699</v>
      </c>
      <c r="G189" s="106">
        <f>I189+K189+O189+S189+U189+W189+Y189+AA189+AC189+AE189+AR189+AX189+BC189+BG189+BP189+BR189+BT189+AO189</f>
        <v>123987.47575</v>
      </c>
      <c r="H189" s="106">
        <f>J189+L189+M189+N189+P189+Q189+R189+T189+V189+X189+Z189+AB189+AD189+AF189+AG189+AJ189+AL189+AS189+AT189+AU189+AV189+AW189+AY189+AZ189+BA189+BB189+BD189+BE189+BF189+BH189+BI189+BJ189+BL189+BM189+BN189+BO189+BQ189+BS189+BU189+AH189+AI189+AK189+AM189+AN189+AP189+AQ189+BK189</f>
        <v>84263.32124</v>
      </c>
      <c r="I189" s="107">
        <v>123987.47575</v>
      </c>
      <c r="J189" s="106">
        <v>83520.25284</v>
      </c>
      <c r="K189" s="107"/>
      <c r="L189" s="107"/>
      <c r="M189" s="107"/>
      <c r="N189" s="107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7"/>
      <c r="Z189" s="106"/>
      <c r="AA189" s="159"/>
      <c r="AB189" s="106"/>
      <c r="AC189" s="107"/>
      <c r="AD189" s="107"/>
      <c r="AE189" s="107"/>
      <c r="AF189" s="107"/>
      <c r="AG189" s="107"/>
      <c r="AH189" s="107"/>
      <c r="AI189" s="107"/>
      <c r="AJ189" s="108">
        <v>0</v>
      </c>
      <c r="AK189" s="107"/>
      <c r="AL189" s="107"/>
      <c r="AM189" s="107"/>
      <c r="AN189" s="107">
        <v>743.0684</v>
      </c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6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9"/>
      <c r="BR189" s="109"/>
      <c r="BS189" s="109"/>
      <c r="BT189" s="109"/>
      <c r="BU189" s="138"/>
    </row>
    <row r="190" spans="1:73" ht="41.25" customHeight="1" outlineLevel="2">
      <c r="A190" s="24" t="s">
        <v>523</v>
      </c>
      <c r="B190" s="3" t="s">
        <v>1643</v>
      </c>
      <c r="C190" s="4" t="s">
        <v>1496</v>
      </c>
      <c r="D190" s="230" t="s">
        <v>1662</v>
      </c>
      <c r="E190" s="203" t="s">
        <v>2036</v>
      </c>
      <c r="F190" s="108">
        <f t="shared" si="23"/>
        <v>15200.37679</v>
      </c>
      <c r="G190" s="106">
        <f aca="true" t="shared" si="29" ref="G190:G207">I190+K190+O190+S190+U190+W190+Y190+AA190+AC190+AE190+AR190+AX190+BC190+BG190+BP190+BR190+BT190+AO190</f>
        <v>4468.32545</v>
      </c>
      <c r="H190" s="106">
        <f aca="true" t="shared" si="30" ref="H190:H207">J190+L190+M190+N190+P190+Q190+R190+T190+V190+X190+Z190+AB190+AD190+AF190+AG190+AJ190+AL190+AS190+AT190+AU190+AV190+AW190+AY190+AZ190+BA190+BB190+BD190+BE190+BF190+BH190+BI190+BJ190+BL190+BM190+BN190+BO190+BQ190+BS190+BU190+AH190+AI190+AK190+AM190+AN190+AP190+AQ190+BK190</f>
        <v>10732.05134</v>
      </c>
      <c r="I190" s="119"/>
      <c r="J190" s="120"/>
      <c r="K190" s="119"/>
      <c r="L190" s="119"/>
      <c r="M190" s="119"/>
      <c r="N190" s="119"/>
      <c r="O190" s="120"/>
      <c r="P190" s="120"/>
      <c r="Q190" s="120"/>
      <c r="R190" s="120"/>
      <c r="S190" s="120"/>
      <c r="T190" s="120"/>
      <c r="U190" s="120"/>
      <c r="V190" s="120"/>
      <c r="W190" s="120">
        <v>1743.00282</v>
      </c>
      <c r="X190" s="120">
        <v>909.9695</v>
      </c>
      <c r="Y190" s="119">
        <v>699.2</v>
      </c>
      <c r="Z190" s="120">
        <v>1836.78</v>
      </c>
      <c r="AA190" s="163">
        <v>974.56832</v>
      </c>
      <c r="AB190" s="120">
        <v>594.21927</v>
      </c>
      <c r="AC190" s="119"/>
      <c r="AD190" s="119"/>
      <c r="AE190" s="119"/>
      <c r="AF190" s="119"/>
      <c r="AG190" s="119"/>
      <c r="AH190" s="119"/>
      <c r="AI190" s="119"/>
      <c r="AJ190" s="108">
        <v>839.0237999999999</v>
      </c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20"/>
      <c r="AZ190" s="119"/>
      <c r="BA190" s="119">
        <f>1085.317+1044.5687</f>
        <v>2129.8857</v>
      </c>
      <c r="BB190" s="119"/>
      <c r="BC190" s="119">
        <v>1051.55431</v>
      </c>
      <c r="BD190" s="119">
        <v>1031.0973</v>
      </c>
      <c r="BE190" s="119"/>
      <c r="BF190" s="119"/>
      <c r="BG190" s="119"/>
      <c r="BH190" s="119"/>
      <c r="BI190" s="119"/>
      <c r="BJ190" s="119">
        <v>3391.07577</v>
      </c>
      <c r="BK190" s="119"/>
      <c r="BL190" s="119"/>
      <c r="BM190" s="119"/>
      <c r="BN190" s="119"/>
      <c r="BO190" s="119"/>
      <c r="BP190" s="119"/>
      <c r="BQ190" s="121"/>
      <c r="BR190" s="121"/>
      <c r="BS190" s="121"/>
      <c r="BT190" s="121"/>
      <c r="BU190" s="140"/>
    </row>
    <row r="191" spans="1:73" ht="38.25" customHeight="1" outlineLevel="2">
      <c r="A191" s="24" t="s">
        <v>523</v>
      </c>
      <c r="B191" s="37" t="s">
        <v>146</v>
      </c>
      <c r="C191" s="20" t="s">
        <v>1496</v>
      </c>
      <c r="D191" s="218" t="s">
        <v>603</v>
      </c>
      <c r="E191" s="203" t="s">
        <v>2032</v>
      </c>
      <c r="F191" s="108">
        <f t="shared" si="23"/>
        <v>510.19279</v>
      </c>
      <c r="G191" s="106">
        <f t="shared" si="29"/>
        <v>235.37959</v>
      </c>
      <c r="H191" s="106">
        <f t="shared" si="30"/>
        <v>274.8132</v>
      </c>
      <c r="I191" s="107"/>
      <c r="J191" s="107"/>
      <c r="K191" s="107"/>
      <c r="L191" s="107"/>
      <c r="M191" s="107"/>
      <c r="N191" s="107"/>
      <c r="O191" s="106"/>
      <c r="P191" s="106"/>
      <c r="Q191" s="106"/>
      <c r="R191" s="106"/>
      <c r="S191" s="106">
        <v>9.86384</v>
      </c>
      <c r="T191" s="106">
        <v>3.58685</v>
      </c>
      <c r="U191" s="106"/>
      <c r="V191" s="106"/>
      <c r="W191" s="106"/>
      <c r="X191" s="106"/>
      <c r="Y191" s="107"/>
      <c r="Z191" s="107">
        <v>26.7531</v>
      </c>
      <c r="AA191" s="159">
        <v>78.64415</v>
      </c>
      <c r="AB191" s="106">
        <v>59.42193</v>
      </c>
      <c r="AC191" s="107"/>
      <c r="AD191" s="107"/>
      <c r="AE191" s="107"/>
      <c r="AF191" s="107"/>
      <c r="AG191" s="107"/>
      <c r="AH191" s="107"/>
      <c r="AI191" s="107"/>
      <c r="AJ191" s="108">
        <v>33.503</v>
      </c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6">
        <v>7.51709</v>
      </c>
      <c r="AZ191" s="107"/>
      <c r="BA191" s="107"/>
      <c r="BB191" s="107"/>
      <c r="BC191" s="107">
        <v>146.8716</v>
      </c>
      <c r="BD191" s="107">
        <v>144.03123</v>
      </c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9"/>
      <c r="BR191" s="109"/>
      <c r="BS191" s="109"/>
      <c r="BT191" s="109"/>
      <c r="BU191" s="138"/>
    </row>
    <row r="192" spans="1:73" ht="30.75" customHeight="1" outlineLevel="2">
      <c r="A192" s="24" t="s">
        <v>523</v>
      </c>
      <c r="B192" s="37" t="s">
        <v>167</v>
      </c>
      <c r="C192" s="20" t="s">
        <v>1496</v>
      </c>
      <c r="D192" s="236" t="s">
        <v>730</v>
      </c>
      <c r="E192" s="203" t="s">
        <v>2033</v>
      </c>
      <c r="F192" s="108">
        <f t="shared" si="23"/>
        <v>43.5702</v>
      </c>
      <c r="G192" s="106">
        <f t="shared" si="29"/>
        <v>21.99809</v>
      </c>
      <c r="H192" s="106">
        <f t="shared" si="30"/>
        <v>21.57211</v>
      </c>
      <c r="I192" s="107"/>
      <c r="J192" s="107"/>
      <c r="K192" s="107"/>
      <c r="L192" s="107"/>
      <c r="M192" s="107"/>
      <c r="N192" s="107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7"/>
      <c r="Z192" s="107"/>
      <c r="AA192" s="159"/>
      <c r="AB192" s="106"/>
      <c r="AC192" s="107"/>
      <c r="AD192" s="107"/>
      <c r="AE192" s="107"/>
      <c r="AF192" s="107"/>
      <c r="AG192" s="107"/>
      <c r="AH192" s="107"/>
      <c r="AI192" s="107"/>
      <c r="AJ192" s="108">
        <v>0</v>
      </c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6"/>
      <c r="AZ192" s="107"/>
      <c r="BA192" s="107"/>
      <c r="BB192" s="107"/>
      <c r="BC192" s="107">
        <v>21.99809</v>
      </c>
      <c r="BD192" s="107">
        <v>21.57211</v>
      </c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9"/>
      <c r="BR192" s="109"/>
      <c r="BS192" s="109"/>
      <c r="BT192" s="109"/>
      <c r="BU192" s="138"/>
    </row>
    <row r="193" spans="1:73" ht="30.75" customHeight="1" outlineLevel="2">
      <c r="A193" s="24" t="s">
        <v>523</v>
      </c>
      <c r="B193" s="37" t="s">
        <v>1220</v>
      </c>
      <c r="C193" s="20" t="s">
        <v>1496</v>
      </c>
      <c r="D193" s="218" t="s">
        <v>480</v>
      </c>
      <c r="E193" s="203" t="s">
        <v>2034</v>
      </c>
      <c r="F193" s="108">
        <f t="shared" si="23"/>
        <v>13186.51647</v>
      </c>
      <c r="G193" s="106">
        <f t="shared" si="29"/>
        <v>5147.89957</v>
      </c>
      <c r="H193" s="106">
        <f t="shared" si="30"/>
        <v>8038.616900000001</v>
      </c>
      <c r="I193" s="107"/>
      <c r="J193" s="107"/>
      <c r="K193" s="107"/>
      <c r="L193" s="107"/>
      <c r="M193" s="107"/>
      <c r="N193" s="107"/>
      <c r="O193" s="106"/>
      <c r="P193" s="106"/>
      <c r="Q193" s="106"/>
      <c r="R193" s="106"/>
      <c r="S193" s="106"/>
      <c r="T193" s="106"/>
      <c r="U193" s="106"/>
      <c r="V193" s="106"/>
      <c r="W193" s="106">
        <v>1295.30927</v>
      </c>
      <c r="X193" s="106">
        <v>676.24212</v>
      </c>
      <c r="Y193" s="107"/>
      <c r="Z193" s="107">
        <v>159.72</v>
      </c>
      <c r="AA193" s="159">
        <v>626.29559</v>
      </c>
      <c r="AB193" s="106">
        <v>396.14618</v>
      </c>
      <c r="AC193" s="107">
        <v>736.20582</v>
      </c>
      <c r="AD193" s="107">
        <v>384.35098</v>
      </c>
      <c r="AE193" s="107"/>
      <c r="AF193" s="107"/>
      <c r="AG193" s="107">
        <v>102.3612</v>
      </c>
      <c r="AH193" s="107"/>
      <c r="AI193" s="107"/>
      <c r="AJ193" s="108">
        <v>748.23728</v>
      </c>
      <c r="AK193" s="107">
        <v>55.7326</v>
      </c>
      <c r="AL193" s="107"/>
      <c r="AM193" s="107"/>
      <c r="AN193" s="107">
        <v>68.5879</v>
      </c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>
        <v>719.52</v>
      </c>
      <c r="AY193" s="106">
        <v>796.15887</v>
      </c>
      <c r="AZ193" s="107"/>
      <c r="BA193" s="107"/>
      <c r="BB193" s="107"/>
      <c r="BC193" s="107">
        <v>1770.56889</v>
      </c>
      <c r="BD193" s="107">
        <v>1736.37881</v>
      </c>
      <c r="BE193" s="107"/>
      <c r="BF193" s="107"/>
      <c r="BG193" s="107"/>
      <c r="BH193" s="107"/>
      <c r="BI193" s="107"/>
      <c r="BJ193" s="107">
        <v>2914.70096</v>
      </c>
      <c r="BK193" s="107"/>
      <c r="BL193" s="107"/>
      <c r="BM193" s="107"/>
      <c r="BN193" s="107"/>
      <c r="BO193" s="107"/>
      <c r="BP193" s="107"/>
      <c r="BQ193" s="109"/>
      <c r="BR193" s="109"/>
      <c r="BS193" s="109"/>
      <c r="BT193" s="109"/>
      <c r="BU193" s="138"/>
    </row>
    <row r="194" spans="1:73" ht="40.5" customHeight="1" outlineLevel="2">
      <c r="A194" s="24" t="s">
        <v>523</v>
      </c>
      <c r="B194" s="37" t="s">
        <v>395</v>
      </c>
      <c r="C194" s="20" t="s">
        <v>1496</v>
      </c>
      <c r="D194" s="218" t="s">
        <v>714</v>
      </c>
      <c r="E194" s="203" t="s">
        <v>2035</v>
      </c>
      <c r="F194" s="108">
        <f t="shared" si="23"/>
        <v>2221.4667200000004</v>
      </c>
      <c r="G194" s="106">
        <f t="shared" si="29"/>
        <v>884.68678</v>
      </c>
      <c r="H194" s="106">
        <f t="shared" si="30"/>
        <v>1336.7799400000001</v>
      </c>
      <c r="I194" s="107"/>
      <c r="J194" s="107"/>
      <c r="K194" s="107"/>
      <c r="L194" s="107"/>
      <c r="M194" s="107"/>
      <c r="N194" s="107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7">
        <v>24.32</v>
      </c>
      <c r="Z194" s="107">
        <v>63.888</v>
      </c>
      <c r="AA194" s="159">
        <v>193.84206</v>
      </c>
      <c r="AB194" s="106">
        <v>158.45847</v>
      </c>
      <c r="AC194" s="107"/>
      <c r="AD194" s="107"/>
      <c r="AE194" s="107"/>
      <c r="AF194" s="107"/>
      <c r="AG194" s="107"/>
      <c r="AH194" s="107"/>
      <c r="AI194" s="107"/>
      <c r="AJ194" s="108">
        <v>192.06344</v>
      </c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>
        <v>33.84</v>
      </c>
      <c r="AY194" s="106">
        <v>112.47874</v>
      </c>
      <c r="AZ194" s="107"/>
      <c r="BA194" s="107"/>
      <c r="BB194" s="107"/>
      <c r="BC194" s="107">
        <v>632.68472</v>
      </c>
      <c r="BD194" s="107">
        <v>620.42817</v>
      </c>
      <c r="BE194" s="107">
        <v>32.16623</v>
      </c>
      <c r="BF194" s="107"/>
      <c r="BG194" s="107"/>
      <c r="BH194" s="107"/>
      <c r="BI194" s="107"/>
      <c r="BJ194" s="107">
        <v>157.29689</v>
      </c>
      <c r="BK194" s="107"/>
      <c r="BL194" s="107"/>
      <c r="BM194" s="107"/>
      <c r="BN194" s="107"/>
      <c r="BO194" s="107"/>
      <c r="BP194" s="107"/>
      <c r="BQ194" s="109"/>
      <c r="BR194" s="109"/>
      <c r="BS194" s="109"/>
      <c r="BT194" s="109"/>
      <c r="BU194" s="138"/>
    </row>
    <row r="195" spans="1:73" ht="39" customHeight="1" outlineLevel="2">
      <c r="A195" s="24" t="s">
        <v>523</v>
      </c>
      <c r="B195" s="33" t="s">
        <v>1533</v>
      </c>
      <c r="C195" s="4" t="s">
        <v>587</v>
      </c>
      <c r="D195" s="230" t="s">
        <v>1391</v>
      </c>
      <c r="E195" s="233" t="s">
        <v>2018</v>
      </c>
      <c r="F195" s="108">
        <f t="shared" si="23"/>
        <v>6079.65025</v>
      </c>
      <c r="G195" s="106">
        <f t="shared" si="29"/>
        <v>1926.95213</v>
      </c>
      <c r="H195" s="106">
        <f t="shared" si="30"/>
        <v>4152.69812</v>
      </c>
      <c r="I195" s="119"/>
      <c r="J195" s="119"/>
      <c r="K195" s="119">
        <v>814.42622</v>
      </c>
      <c r="L195" s="119">
        <v>281.35274</v>
      </c>
      <c r="M195" s="119"/>
      <c r="N195" s="119"/>
      <c r="O195" s="120">
        <v>363.54688</v>
      </c>
      <c r="P195" s="120">
        <v>14.89148</v>
      </c>
      <c r="Q195" s="120"/>
      <c r="R195" s="120"/>
      <c r="S195" s="120"/>
      <c r="T195" s="120"/>
      <c r="U195" s="120"/>
      <c r="V195" s="120"/>
      <c r="W195" s="120"/>
      <c r="X195" s="120"/>
      <c r="Y195" s="119">
        <v>8.41783</v>
      </c>
      <c r="Z195" s="119">
        <v>39.93</v>
      </c>
      <c r="AA195" s="163">
        <v>331.80172</v>
      </c>
      <c r="AB195" s="120">
        <v>217.8804</v>
      </c>
      <c r="AC195" s="119"/>
      <c r="AD195" s="119"/>
      <c r="AE195" s="119"/>
      <c r="AF195" s="119"/>
      <c r="AG195" s="119"/>
      <c r="AH195" s="119"/>
      <c r="AI195" s="119"/>
      <c r="AJ195" s="108">
        <v>114.12751999999999</v>
      </c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>
        <v>84.13607</v>
      </c>
      <c r="AY195" s="120">
        <v>29.45452</v>
      </c>
      <c r="AZ195" s="119">
        <v>75.825</v>
      </c>
      <c r="BA195" s="119"/>
      <c r="BB195" s="119"/>
      <c r="BC195" s="119">
        <v>324.62341</v>
      </c>
      <c r="BD195" s="119">
        <v>318.34581</v>
      </c>
      <c r="BE195" s="119">
        <v>211.051</v>
      </c>
      <c r="BF195" s="119"/>
      <c r="BG195" s="119"/>
      <c r="BH195" s="119"/>
      <c r="BI195" s="119"/>
      <c r="BJ195" s="119">
        <v>2849.83965</v>
      </c>
      <c r="BK195" s="119"/>
      <c r="BL195" s="119"/>
      <c r="BM195" s="119"/>
      <c r="BN195" s="119"/>
      <c r="BO195" s="119"/>
      <c r="BP195" s="119"/>
      <c r="BQ195" s="121"/>
      <c r="BR195" s="121"/>
      <c r="BS195" s="121"/>
      <c r="BT195" s="121"/>
      <c r="BU195" s="140"/>
    </row>
    <row r="196" spans="1:73" ht="39" customHeight="1" outlineLevel="2">
      <c r="A196" s="24" t="s">
        <v>523</v>
      </c>
      <c r="B196" s="19" t="s">
        <v>1099</v>
      </c>
      <c r="C196" s="20" t="s">
        <v>587</v>
      </c>
      <c r="D196" s="218" t="s">
        <v>983</v>
      </c>
      <c r="E196" s="220" t="s">
        <v>2019</v>
      </c>
      <c r="F196" s="108">
        <f t="shared" si="23"/>
        <v>345.30782999999997</v>
      </c>
      <c r="G196" s="106">
        <f t="shared" si="29"/>
        <v>215.24581</v>
      </c>
      <c r="H196" s="106">
        <f t="shared" si="30"/>
        <v>130.06202</v>
      </c>
      <c r="I196" s="107"/>
      <c r="J196" s="107"/>
      <c r="K196" s="107">
        <v>110.15464</v>
      </c>
      <c r="L196" s="107">
        <v>13.26534</v>
      </c>
      <c r="M196" s="107"/>
      <c r="N196" s="107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7">
        <v>3.04</v>
      </c>
      <c r="Z196" s="106">
        <v>7.986</v>
      </c>
      <c r="AA196" s="159">
        <v>51.04031</v>
      </c>
      <c r="AB196" s="106">
        <v>39.61462</v>
      </c>
      <c r="AC196" s="107"/>
      <c r="AD196" s="107"/>
      <c r="AE196" s="107"/>
      <c r="AF196" s="107"/>
      <c r="AG196" s="107"/>
      <c r="AH196" s="107"/>
      <c r="AI196" s="107"/>
      <c r="AJ196" s="108">
        <v>19.171239999999997</v>
      </c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6"/>
      <c r="AZ196" s="107"/>
      <c r="BA196" s="107"/>
      <c r="BB196" s="107"/>
      <c r="BC196" s="107">
        <v>51.01086</v>
      </c>
      <c r="BD196" s="107">
        <v>50.02482</v>
      </c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9"/>
      <c r="BR196" s="109"/>
      <c r="BS196" s="109"/>
      <c r="BT196" s="109"/>
      <c r="BU196" s="138"/>
    </row>
    <row r="197" spans="1:73" ht="39" customHeight="1" outlineLevel="2">
      <c r="A197" s="24" t="s">
        <v>523</v>
      </c>
      <c r="B197" s="37" t="s">
        <v>1100</v>
      </c>
      <c r="C197" s="20" t="s">
        <v>587</v>
      </c>
      <c r="D197" s="218" t="s">
        <v>984</v>
      </c>
      <c r="E197" s="220" t="s">
        <v>2020</v>
      </c>
      <c r="F197" s="108">
        <f t="shared" si="23"/>
        <v>3094.60771</v>
      </c>
      <c r="G197" s="106">
        <f t="shared" si="29"/>
        <v>1819.37881</v>
      </c>
      <c r="H197" s="106">
        <f t="shared" si="30"/>
        <v>1275.2289</v>
      </c>
      <c r="I197" s="107"/>
      <c r="J197" s="107"/>
      <c r="K197" s="107"/>
      <c r="L197" s="107"/>
      <c r="M197" s="107"/>
      <c r="N197" s="107"/>
      <c r="O197" s="106">
        <v>500.66072</v>
      </c>
      <c r="P197" s="106">
        <v>22.3975</v>
      </c>
      <c r="Q197" s="106"/>
      <c r="R197" s="106"/>
      <c r="S197" s="106"/>
      <c r="T197" s="106"/>
      <c r="U197" s="106"/>
      <c r="V197" s="106"/>
      <c r="W197" s="106">
        <v>470.59442</v>
      </c>
      <c r="X197" s="106">
        <v>245.68324</v>
      </c>
      <c r="Y197" s="107">
        <v>16.83567</v>
      </c>
      <c r="Z197" s="106">
        <v>79.86</v>
      </c>
      <c r="AA197" s="159">
        <v>326.40399</v>
      </c>
      <c r="AB197" s="106">
        <v>254.52392</v>
      </c>
      <c r="AC197" s="107"/>
      <c r="AD197" s="107"/>
      <c r="AE197" s="107"/>
      <c r="AF197" s="107"/>
      <c r="AG197" s="107"/>
      <c r="AH197" s="107"/>
      <c r="AI197" s="107"/>
      <c r="AJ197" s="108">
        <v>104.81076</v>
      </c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>
        <v>50</v>
      </c>
      <c r="AY197" s="106">
        <v>53.85878</v>
      </c>
      <c r="AZ197" s="107">
        <v>34.2</v>
      </c>
      <c r="BA197" s="107"/>
      <c r="BB197" s="107"/>
      <c r="BC197" s="107">
        <v>454.88401</v>
      </c>
      <c r="BD197" s="107">
        <v>446.4947</v>
      </c>
      <c r="BE197" s="107">
        <v>33.4</v>
      </c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9"/>
      <c r="BR197" s="109"/>
      <c r="BS197" s="109"/>
      <c r="BT197" s="109"/>
      <c r="BU197" s="138"/>
    </row>
    <row r="198" spans="1:73" ht="39" customHeight="1" outlineLevel="2">
      <c r="A198" s="24" t="s">
        <v>523</v>
      </c>
      <c r="B198" s="37" t="s">
        <v>1516</v>
      </c>
      <c r="C198" s="20" t="s">
        <v>587</v>
      </c>
      <c r="D198" s="218" t="s">
        <v>727</v>
      </c>
      <c r="E198" s="220" t="s">
        <v>2021</v>
      </c>
      <c r="F198" s="108">
        <f t="shared" si="23"/>
        <v>613.84155</v>
      </c>
      <c r="G198" s="106">
        <f t="shared" si="29"/>
        <v>198.10456</v>
      </c>
      <c r="H198" s="106">
        <f t="shared" si="30"/>
        <v>415.73699</v>
      </c>
      <c r="I198" s="107"/>
      <c r="J198" s="107"/>
      <c r="K198" s="107"/>
      <c r="L198" s="107"/>
      <c r="M198" s="107"/>
      <c r="N198" s="107"/>
      <c r="O198" s="106"/>
      <c r="P198" s="106"/>
      <c r="Q198" s="106"/>
      <c r="R198" s="106"/>
      <c r="S198" s="106"/>
      <c r="T198" s="106"/>
      <c r="U198" s="106"/>
      <c r="V198" s="106"/>
      <c r="W198" s="106">
        <v>112.21319</v>
      </c>
      <c r="X198" s="106">
        <v>58.58314</v>
      </c>
      <c r="Y198" s="107"/>
      <c r="Z198" s="106"/>
      <c r="AA198" s="106"/>
      <c r="AB198" s="106"/>
      <c r="AC198" s="107"/>
      <c r="AD198" s="107"/>
      <c r="AE198" s="107"/>
      <c r="AF198" s="107"/>
      <c r="AG198" s="107"/>
      <c r="AH198" s="107"/>
      <c r="AI198" s="107"/>
      <c r="AJ198" s="108">
        <v>0</v>
      </c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6"/>
      <c r="AZ198" s="107"/>
      <c r="BA198" s="107"/>
      <c r="BB198" s="107"/>
      <c r="BC198" s="107">
        <v>85.89137</v>
      </c>
      <c r="BD198" s="107">
        <v>84.22705</v>
      </c>
      <c r="BE198" s="107"/>
      <c r="BF198" s="107"/>
      <c r="BG198" s="107"/>
      <c r="BH198" s="107"/>
      <c r="BI198" s="107"/>
      <c r="BJ198" s="107">
        <v>272.9268</v>
      </c>
      <c r="BK198" s="107"/>
      <c r="BL198" s="107"/>
      <c r="BM198" s="107"/>
      <c r="BN198" s="107"/>
      <c r="BO198" s="107"/>
      <c r="BP198" s="107"/>
      <c r="BQ198" s="109"/>
      <c r="BR198" s="109"/>
      <c r="BS198" s="109"/>
      <c r="BT198" s="109"/>
      <c r="BU198" s="138"/>
    </row>
    <row r="199" spans="1:73" ht="39" customHeight="1" outlineLevel="2">
      <c r="A199" s="24" t="s">
        <v>523</v>
      </c>
      <c r="B199" s="37" t="s">
        <v>1388</v>
      </c>
      <c r="C199" s="20" t="s">
        <v>587</v>
      </c>
      <c r="D199" s="218" t="s">
        <v>1389</v>
      </c>
      <c r="E199" s="220" t="s">
        <v>2022</v>
      </c>
      <c r="F199" s="108">
        <f t="shared" si="23"/>
        <v>1350.8787200000002</v>
      </c>
      <c r="G199" s="106">
        <f t="shared" si="29"/>
        <v>491.30011</v>
      </c>
      <c r="H199" s="106">
        <f t="shared" si="30"/>
        <v>859.57861</v>
      </c>
      <c r="I199" s="107"/>
      <c r="J199" s="107"/>
      <c r="K199" s="107"/>
      <c r="L199" s="107"/>
      <c r="M199" s="107"/>
      <c r="N199" s="107"/>
      <c r="O199" s="106">
        <v>34.77189</v>
      </c>
      <c r="P199" s="106">
        <v>1.55067</v>
      </c>
      <c r="Q199" s="106"/>
      <c r="R199" s="106"/>
      <c r="S199" s="106"/>
      <c r="T199" s="106"/>
      <c r="U199" s="106"/>
      <c r="V199" s="106"/>
      <c r="W199" s="106"/>
      <c r="X199" s="106"/>
      <c r="Y199" s="107">
        <v>7.6</v>
      </c>
      <c r="Z199" s="106">
        <v>19.965</v>
      </c>
      <c r="AA199" s="159">
        <v>104.77949</v>
      </c>
      <c r="AB199" s="106">
        <v>79.22924</v>
      </c>
      <c r="AC199" s="107"/>
      <c r="AD199" s="107"/>
      <c r="AE199" s="107"/>
      <c r="AF199" s="107"/>
      <c r="AG199" s="107"/>
      <c r="AH199" s="107"/>
      <c r="AI199" s="107"/>
      <c r="AJ199" s="108">
        <v>34.57844</v>
      </c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>
        <v>206.31011</v>
      </c>
      <c r="AY199" s="106">
        <v>97.8073</v>
      </c>
      <c r="AZ199" s="107">
        <v>59.49</v>
      </c>
      <c r="BA199" s="107"/>
      <c r="BB199" s="107"/>
      <c r="BC199" s="107">
        <v>137.83862</v>
      </c>
      <c r="BD199" s="107">
        <v>135.17092</v>
      </c>
      <c r="BE199" s="107"/>
      <c r="BF199" s="107"/>
      <c r="BG199" s="107"/>
      <c r="BH199" s="107"/>
      <c r="BI199" s="107"/>
      <c r="BJ199" s="107">
        <v>431.78704</v>
      </c>
      <c r="BK199" s="107"/>
      <c r="BL199" s="107"/>
      <c r="BM199" s="107"/>
      <c r="BN199" s="107"/>
      <c r="BO199" s="107"/>
      <c r="BP199" s="107"/>
      <c r="BQ199" s="109"/>
      <c r="BR199" s="109"/>
      <c r="BS199" s="109"/>
      <c r="BT199" s="109"/>
      <c r="BU199" s="138"/>
    </row>
    <row r="200" spans="1:73" ht="39" customHeight="1" outlineLevel="2">
      <c r="A200" s="24" t="s">
        <v>523</v>
      </c>
      <c r="B200" s="37" t="s">
        <v>922</v>
      </c>
      <c r="C200" s="20" t="s">
        <v>587</v>
      </c>
      <c r="D200" s="218" t="s">
        <v>728</v>
      </c>
      <c r="E200" s="220" t="s">
        <v>2023</v>
      </c>
      <c r="F200" s="108">
        <f t="shared" si="23"/>
        <v>205.40921999999998</v>
      </c>
      <c r="G200" s="106">
        <f t="shared" si="29"/>
        <v>115.41507999999999</v>
      </c>
      <c r="H200" s="106">
        <f t="shared" si="30"/>
        <v>89.99413999999999</v>
      </c>
      <c r="I200" s="107"/>
      <c r="J200" s="107"/>
      <c r="K200" s="107"/>
      <c r="L200" s="107"/>
      <c r="M200" s="107"/>
      <c r="N200" s="107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7"/>
      <c r="Z200" s="106"/>
      <c r="AA200" s="159">
        <v>36.31562</v>
      </c>
      <c r="AB200" s="106">
        <v>29.71096</v>
      </c>
      <c r="AC200" s="107"/>
      <c r="AD200" s="107"/>
      <c r="AE200" s="107"/>
      <c r="AF200" s="107"/>
      <c r="AG200" s="107"/>
      <c r="AH200" s="107"/>
      <c r="AI200" s="107"/>
      <c r="AJ200" s="108">
        <v>0</v>
      </c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>
        <v>29.17121</v>
      </c>
      <c r="AY200" s="106">
        <v>11.32028</v>
      </c>
      <c r="AZ200" s="107"/>
      <c r="BA200" s="107"/>
      <c r="BB200" s="107"/>
      <c r="BC200" s="107">
        <v>49.92825</v>
      </c>
      <c r="BD200" s="107">
        <v>48.9629</v>
      </c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9"/>
      <c r="BR200" s="109"/>
      <c r="BS200" s="109"/>
      <c r="BT200" s="109"/>
      <c r="BU200" s="138"/>
    </row>
    <row r="201" spans="1:73" ht="39" customHeight="1" outlineLevel="2">
      <c r="A201" s="24" t="s">
        <v>523</v>
      </c>
      <c r="B201" s="22" t="s">
        <v>225</v>
      </c>
      <c r="C201" s="20" t="s">
        <v>587</v>
      </c>
      <c r="D201" s="218" t="s">
        <v>729</v>
      </c>
      <c r="E201" s="220" t="s">
        <v>2024</v>
      </c>
      <c r="F201" s="108">
        <f t="shared" si="23"/>
        <v>54.37939</v>
      </c>
      <c r="G201" s="106">
        <f t="shared" si="29"/>
        <v>28.57724</v>
      </c>
      <c r="H201" s="106">
        <f t="shared" si="30"/>
        <v>25.802149999999997</v>
      </c>
      <c r="I201" s="107"/>
      <c r="J201" s="107"/>
      <c r="K201" s="107"/>
      <c r="L201" s="107"/>
      <c r="M201" s="107"/>
      <c r="N201" s="107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7"/>
      <c r="Z201" s="106"/>
      <c r="AA201" s="159">
        <v>14.58677</v>
      </c>
      <c r="AB201" s="106">
        <v>12.08246</v>
      </c>
      <c r="AC201" s="107"/>
      <c r="AD201" s="107"/>
      <c r="AE201" s="107"/>
      <c r="AF201" s="107"/>
      <c r="AG201" s="107"/>
      <c r="AH201" s="107"/>
      <c r="AI201" s="107"/>
      <c r="AJ201" s="108">
        <v>0</v>
      </c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6"/>
      <c r="AZ201" s="107"/>
      <c r="BA201" s="107"/>
      <c r="BB201" s="107"/>
      <c r="BC201" s="107">
        <v>13.99047</v>
      </c>
      <c r="BD201" s="107">
        <v>13.71969</v>
      </c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9"/>
      <c r="BR201" s="109"/>
      <c r="BS201" s="109"/>
      <c r="BT201" s="109"/>
      <c r="BU201" s="138"/>
    </row>
    <row r="202" spans="1:73" ht="39" customHeight="1" outlineLevel="2">
      <c r="A202" s="24" t="s">
        <v>523</v>
      </c>
      <c r="B202" s="22" t="s">
        <v>1600</v>
      </c>
      <c r="C202" s="20" t="s">
        <v>587</v>
      </c>
      <c r="D202" s="218" t="s">
        <v>1689</v>
      </c>
      <c r="E202" s="220" t="s">
        <v>2025</v>
      </c>
      <c r="F202" s="108">
        <f t="shared" si="23"/>
        <v>25.34095</v>
      </c>
      <c r="G202" s="106">
        <f t="shared" si="29"/>
        <v>0</v>
      </c>
      <c r="H202" s="106">
        <f t="shared" si="30"/>
        <v>25.34095</v>
      </c>
      <c r="I202" s="107"/>
      <c r="J202" s="107"/>
      <c r="K202" s="107"/>
      <c r="L202" s="107"/>
      <c r="M202" s="107"/>
      <c r="N202" s="107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7"/>
      <c r="Z202" s="106"/>
      <c r="AA202" s="159"/>
      <c r="AB202" s="106"/>
      <c r="AC202" s="107"/>
      <c r="AD202" s="107"/>
      <c r="AE202" s="107"/>
      <c r="AF202" s="107"/>
      <c r="AG202" s="107"/>
      <c r="AH202" s="107"/>
      <c r="AI202" s="107"/>
      <c r="AJ202" s="108">
        <v>0</v>
      </c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6">
        <v>25.34095</v>
      </c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9"/>
      <c r="BR202" s="109"/>
      <c r="BS202" s="109"/>
      <c r="BT202" s="109"/>
      <c r="BU202" s="138"/>
    </row>
    <row r="203" spans="1:73" ht="39" customHeight="1" outlineLevel="2">
      <c r="A203" s="24" t="s">
        <v>523</v>
      </c>
      <c r="B203" s="37" t="s">
        <v>1534</v>
      </c>
      <c r="C203" s="20" t="s">
        <v>587</v>
      </c>
      <c r="D203" s="218" t="s">
        <v>985</v>
      </c>
      <c r="E203" s="220" t="s">
        <v>2026</v>
      </c>
      <c r="F203" s="108">
        <f t="shared" si="23"/>
        <v>475.3082999999999</v>
      </c>
      <c r="G203" s="106">
        <f t="shared" si="29"/>
        <v>247.52462999999997</v>
      </c>
      <c r="H203" s="106">
        <f t="shared" si="30"/>
        <v>227.78366999999997</v>
      </c>
      <c r="I203" s="107"/>
      <c r="J203" s="107"/>
      <c r="K203" s="107"/>
      <c r="L203" s="107"/>
      <c r="M203" s="107"/>
      <c r="N203" s="107"/>
      <c r="O203" s="106">
        <v>51.27755</v>
      </c>
      <c r="P203" s="106">
        <v>2.41501</v>
      </c>
      <c r="Q203" s="106"/>
      <c r="R203" s="106"/>
      <c r="S203" s="106"/>
      <c r="T203" s="106"/>
      <c r="U203" s="106"/>
      <c r="V203" s="106"/>
      <c r="W203" s="106"/>
      <c r="X203" s="106"/>
      <c r="Y203" s="107">
        <v>7.6</v>
      </c>
      <c r="Z203" s="106">
        <v>19.965</v>
      </c>
      <c r="AA203" s="159">
        <v>88.5863</v>
      </c>
      <c r="AB203" s="106">
        <v>63.38339</v>
      </c>
      <c r="AC203" s="107"/>
      <c r="AD203" s="107"/>
      <c r="AE203" s="107"/>
      <c r="AF203" s="107"/>
      <c r="AG203" s="107"/>
      <c r="AH203" s="107"/>
      <c r="AI203" s="107"/>
      <c r="AJ203" s="108">
        <v>43.8952</v>
      </c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6"/>
      <c r="AZ203" s="107"/>
      <c r="BA203" s="107"/>
      <c r="BB203" s="107"/>
      <c r="BC203" s="107">
        <v>100.06078</v>
      </c>
      <c r="BD203" s="107">
        <v>98.12507</v>
      </c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9"/>
      <c r="BR203" s="109"/>
      <c r="BS203" s="109"/>
      <c r="BT203" s="109"/>
      <c r="BU203" s="138"/>
    </row>
    <row r="204" spans="1:73" ht="39" customHeight="1" outlineLevel="2">
      <c r="A204" s="24" t="s">
        <v>523</v>
      </c>
      <c r="B204" s="37" t="s">
        <v>921</v>
      </c>
      <c r="C204" s="20" t="s">
        <v>587</v>
      </c>
      <c r="D204" s="218" t="s">
        <v>1483</v>
      </c>
      <c r="E204" s="220" t="s">
        <v>2027</v>
      </c>
      <c r="F204" s="108">
        <f t="shared" si="23"/>
        <v>6821.901669999999</v>
      </c>
      <c r="G204" s="106">
        <f t="shared" si="29"/>
        <v>1642.0692800000002</v>
      </c>
      <c r="H204" s="106">
        <f t="shared" si="30"/>
        <v>5179.83239</v>
      </c>
      <c r="I204" s="107"/>
      <c r="J204" s="107"/>
      <c r="K204" s="107"/>
      <c r="L204" s="107"/>
      <c r="M204" s="107">
        <v>384.42486</v>
      </c>
      <c r="N204" s="107"/>
      <c r="O204" s="106">
        <f>38.1867+99.01357</f>
        <v>137.20027</v>
      </c>
      <c r="P204" s="106">
        <f>1.70348+48.41432</f>
        <v>50.117799999999995</v>
      </c>
      <c r="Q204" s="106"/>
      <c r="R204" s="106"/>
      <c r="S204" s="106"/>
      <c r="T204" s="106"/>
      <c r="U204" s="106"/>
      <c r="V204" s="106"/>
      <c r="W204" s="106">
        <v>539.07335</v>
      </c>
      <c r="X204" s="106">
        <v>281.43403</v>
      </c>
      <c r="Y204" s="107"/>
      <c r="Z204" s="107"/>
      <c r="AA204" s="159">
        <v>519.53164</v>
      </c>
      <c r="AB204" s="106">
        <v>336.72425</v>
      </c>
      <c r="AC204" s="107"/>
      <c r="AD204" s="107"/>
      <c r="AE204" s="107"/>
      <c r="AF204" s="107"/>
      <c r="AG204" s="107"/>
      <c r="AH204" s="107"/>
      <c r="AI204" s="107"/>
      <c r="AJ204" s="108">
        <v>176.11852</v>
      </c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6"/>
      <c r="AZ204" s="107"/>
      <c r="BA204" s="107"/>
      <c r="BB204" s="107"/>
      <c r="BC204" s="107">
        <v>446.26402</v>
      </c>
      <c r="BD204" s="107">
        <v>437.63906</v>
      </c>
      <c r="BE204" s="107"/>
      <c r="BF204" s="107"/>
      <c r="BG204" s="107"/>
      <c r="BH204" s="107"/>
      <c r="BI204" s="107"/>
      <c r="BJ204" s="107">
        <v>3513.37387</v>
      </c>
      <c r="BK204" s="107"/>
      <c r="BL204" s="107"/>
      <c r="BM204" s="107"/>
      <c r="BN204" s="107"/>
      <c r="BO204" s="107"/>
      <c r="BP204" s="107"/>
      <c r="BQ204" s="109"/>
      <c r="BR204" s="109"/>
      <c r="BS204" s="109"/>
      <c r="BT204" s="109"/>
      <c r="BU204" s="138"/>
    </row>
    <row r="205" spans="1:73" ht="39" customHeight="1" outlineLevel="2">
      <c r="A205" s="24" t="s">
        <v>523</v>
      </c>
      <c r="B205" s="37" t="s">
        <v>1532</v>
      </c>
      <c r="C205" s="20" t="s">
        <v>710</v>
      </c>
      <c r="D205" s="218" t="s">
        <v>1390</v>
      </c>
      <c r="E205" s="220" t="s">
        <v>2028</v>
      </c>
      <c r="F205" s="108">
        <f t="shared" si="23"/>
        <v>357.18063</v>
      </c>
      <c r="G205" s="106">
        <f t="shared" si="29"/>
        <v>169.42407</v>
      </c>
      <c r="H205" s="106">
        <f t="shared" si="30"/>
        <v>187.75656</v>
      </c>
      <c r="I205" s="107"/>
      <c r="J205" s="107"/>
      <c r="K205" s="107"/>
      <c r="L205" s="107"/>
      <c r="M205" s="107"/>
      <c r="N205" s="107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7"/>
      <c r="Z205" s="107"/>
      <c r="AA205" s="159">
        <v>85.01427</v>
      </c>
      <c r="AB205" s="106">
        <v>69.32558</v>
      </c>
      <c r="AC205" s="107"/>
      <c r="AD205" s="107"/>
      <c r="AE205" s="107"/>
      <c r="AF205" s="107"/>
      <c r="AG205" s="107"/>
      <c r="AH205" s="107"/>
      <c r="AI205" s="107"/>
      <c r="AJ205" s="108">
        <v>35.65388</v>
      </c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6"/>
      <c r="AZ205" s="107"/>
      <c r="BA205" s="107"/>
      <c r="BB205" s="107"/>
      <c r="BC205" s="107">
        <v>84.4098</v>
      </c>
      <c r="BD205" s="107">
        <v>82.7771</v>
      </c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9"/>
      <c r="BR205" s="109"/>
      <c r="BS205" s="109"/>
      <c r="BT205" s="109"/>
      <c r="BU205" s="138"/>
    </row>
    <row r="206" spans="1:73" ht="39" customHeight="1" outlineLevel="2">
      <c r="A206" s="24" t="s">
        <v>523</v>
      </c>
      <c r="B206" s="37" t="s">
        <v>1739</v>
      </c>
      <c r="C206" s="20" t="s">
        <v>710</v>
      </c>
      <c r="D206" s="218" t="s">
        <v>1792</v>
      </c>
      <c r="E206" s="220" t="s">
        <v>2029</v>
      </c>
      <c r="F206" s="108">
        <f t="shared" si="23"/>
        <v>176.81414</v>
      </c>
      <c r="G206" s="106">
        <f t="shared" si="29"/>
        <v>106.61229</v>
      </c>
      <c r="H206" s="106">
        <f t="shared" si="30"/>
        <v>70.20185000000001</v>
      </c>
      <c r="I206" s="107"/>
      <c r="J206" s="107"/>
      <c r="K206" s="107"/>
      <c r="L206" s="107"/>
      <c r="M206" s="107"/>
      <c r="N206" s="107"/>
      <c r="O206" s="106"/>
      <c r="P206" s="106"/>
      <c r="Q206" s="106"/>
      <c r="R206" s="106"/>
      <c r="S206" s="106"/>
      <c r="T206" s="106"/>
      <c r="U206" s="106"/>
      <c r="V206" s="106"/>
      <c r="W206" s="106">
        <v>58.58836</v>
      </c>
      <c r="X206" s="106">
        <v>30.58723</v>
      </c>
      <c r="Y206" s="107"/>
      <c r="Z206" s="107"/>
      <c r="AA206" s="159">
        <v>48.02393</v>
      </c>
      <c r="AB206" s="106">
        <v>39.61462</v>
      </c>
      <c r="AC206" s="107"/>
      <c r="AD206" s="107"/>
      <c r="AE206" s="107"/>
      <c r="AF206" s="107"/>
      <c r="AG206" s="107"/>
      <c r="AH206" s="107"/>
      <c r="AI206" s="107"/>
      <c r="AJ206" s="108">
        <v>0</v>
      </c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6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9"/>
      <c r="BR206" s="109"/>
      <c r="BS206" s="109"/>
      <c r="BT206" s="109"/>
      <c r="BU206" s="138"/>
    </row>
    <row r="207" spans="1:73" ht="39" customHeight="1" outlineLevel="2" thickBot="1">
      <c r="A207" s="24" t="s">
        <v>523</v>
      </c>
      <c r="B207" s="37" t="s">
        <v>1760</v>
      </c>
      <c r="C207" s="20" t="s">
        <v>587</v>
      </c>
      <c r="D207" s="218" t="s">
        <v>1791</v>
      </c>
      <c r="E207" s="220" t="s">
        <v>2030</v>
      </c>
      <c r="F207" s="108">
        <f t="shared" si="23"/>
        <v>2144.141</v>
      </c>
      <c r="G207" s="106">
        <f t="shared" si="29"/>
        <v>0</v>
      </c>
      <c r="H207" s="106">
        <f t="shared" si="30"/>
        <v>2144.141</v>
      </c>
      <c r="I207" s="107"/>
      <c r="J207" s="107"/>
      <c r="K207" s="107"/>
      <c r="L207" s="107"/>
      <c r="M207" s="107"/>
      <c r="N207" s="107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7"/>
      <c r="Z207" s="107"/>
      <c r="AA207" s="159"/>
      <c r="AB207" s="106"/>
      <c r="AC207" s="107"/>
      <c r="AD207" s="107"/>
      <c r="AE207" s="107"/>
      <c r="AF207" s="107"/>
      <c r="AG207" s="107"/>
      <c r="AH207" s="107"/>
      <c r="AI207" s="107"/>
      <c r="AJ207" s="108">
        <v>0</v>
      </c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6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9"/>
      <c r="BR207" s="109"/>
      <c r="BS207" s="109"/>
      <c r="BT207" s="109"/>
      <c r="BU207" s="138">
        <v>2144.141</v>
      </c>
    </row>
    <row r="208" spans="1:73" s="32" customFormat="1" ht="21" outlineLevel="1" thickBot="1">
      <c r="A208" s="43" t="s">
        <v>1202</v>
      </c>
      <c r="B208" s="41"/>
      <c r="C208" s="75" t="s">
        <v>1572</v>
      </c>
      <c r="D208" s="237"/>
      <c r="E208" s="238"/>
      <c r="F208" s="117">
        <f aca="true" t="shared" si="31" ref="F208:AL208">SUBTOTAL(9,F189:F207)</f>
        <v>261157.68132000003</v>
      </c>
      <c r="G208" s="117">
        <f t="shared" si="31"/>
        <v>141706.36924</v>
      </c>
      <c r="H208" s="117">
        <f t="shared" si="31"/>
        <v>119451.31207999999</v>
      </c>
      <c r="I208" s="117">
        <f t="shared" si="31"/>
        <v>123987.47575</v>
      </c>
      <c r="J208" s="117">
        <f t="shared" si="31"/>
        <v>83520.25284</v>
      </c>
      <c r="K208" s="117">
        <f t="shared" si="31"/>
        <v>924.5808599999999</v>
      </c>
      <c r="L208" s="117">
        <f t="shared" si="31"/>
        <v>294.61807999999996</v>
      </c>
      <c r="M208" s="117">
        <f t="shared" si="31"/>
        <v>384.42486</v>
      </c>
      <c r="N208" s="117">
        <f t="shared" si="31"/>
        <v>0</v>
      </c>
      <c r="O208" s="117">
        <f t="shared" si="31"/>
        <v>1087.45731</v>
      </c>
      <c r="P208" s="117">
        <f t="shared" si="31"/>
        <v>91.37245999999999</v>
      </c>
      <c r="Q208" s="117">
        <f t="shared" si="31"/>
        <v>0</v>
      </c>
      <c r="R208" s="117">
        <f t="shared" si="31"/>
        <v>0</v>
      </c>
      <c r="S208" s="117">
        <f t="shared" si="31"/>
        <v>9.86384</v>
      </c>
      <c r="T208" s="117">
        <f t="shared" si="31"/>
        <v>3.58685</v>
      </c>
      <c r="U208" s="117">
        <f t="shared" si="31"/>
        <v>0</v>
      </c>
      <c r="V208" s="117">
        <f t="shared" si="31"/>
        <v>0</v>
      </c>
      <c r="W208" s="117">
        <f t="shared" si="31"/>
        <v>4218.78141</v>
      </c>
      <c r="X208" s="117">
        <f t="shared" si="31"/>
        <v>2202.49926</v>
      </c>
      <c r="Y208" s="117">
        <f t="shared" si="31"/>
        <v>767.0135000000001</v>
      </c>
      <c r="Z208" s="117">
        <f t="shared" si="31"/>
        <v>2254.8471</v>
      </c>
      <c r="AA208" s="117">
        <f t="shared" si="31"/>
        <v>3479.4341599999993</v>
      </c>
      <c r="AB208" s="117">
        <f t="shared" si="31"/>
        <v>2350.33529</v>
      </c>
      <c r="AC208" s="117">
        <f t="shared" si="31"/>
        <v>736.20582</v>
      </c>
      <c r="AD208" s="117">
        <f t="shared" si="31"/>
        <v>384.35098</v>
      </c>
      <c r="AE208" s="117">
        <f t="shared" si="31"/>
        <v>0</v>
      </c>
      <c r="AF208" s="117">
        <f t="shared" si="31"/>
        <v>0</v>
      </c>
      <c r="AG208" s="117">
        <f t="shared" si="31"/>
        <v>102.3612</v>
      </c>
      <c r="AH208" s="117">
        <f t="shared" si="31"/>
        <v>0</v>
      </c>
      <c r="AI208" s="117">
        <f t="shared" si="31"/>
        <v>0</v>
      </c>
      <c r="AJ208" s="117">
        <f>SUBTOTAL(9,AJ189:AJ207)</f>
        <v>2341.18308</v>
      </c>
      <c r="AK208" s="117">
        <f t="shared" si="31"/>
        <v>55.7326</v>
      </c>
      <c r="AL208" s="117">
        <f t="shared" si="31"/>
        <v>0</v>
      </c>
      <c r="AM208" s="117">
        <f aca="true" t="shared" si="32" ref="AM208:BJ208">SUBTOTAL(9,AM189:AM207)</f>
        <v>0</v>
      </c>
      <c r="AN208" s="117">
        <f t="shared" si="32"/>
        <v>811.6563</v>
      </c>
      <c r="AO208" s="117">
        <f t="shared" si="32"/>
        <v>0</v>
      </c>
      <c r="AP208" s="117">
        <f t="shared" si="32"/>
        <v>0</v>
      </c>
      <c r="AQ208" s="117">
        <f t="shared" si="32"/>
        <v>0</v>
      </c>
      <c r="AR208" s="117">
        <f t="shared" si="32"/>
        <v>0</v>
      </c>
      <c r="AS208" s="117">
        <f t="shared" si="32"/>
        <v>0</v>
      </c>
      <c r="AT208" s="117">
        <f t="shared" si="32"/>
        <v>0</v>
      </c>
      <c r="AU208" s="117">
        <f t="shared" si="32"/>
        <v>0</v>
      </c>
      <c r="AV208" s="117">
        <f t="shared" si="32"/>
        <v>0</v>
      </c>
      <c r="AW208" s="117">
        <f t="shared" si="32"/>
        <v>0</v>
      </c>
      <c r="AX208" s="117">
        <f t="shared" si="32"/>
        <v>1122.97739</v>
      </c>
      <c r="AY208" s="117">
        <f t="shared" si="32"/>
        <v>1133.93653</v>
      </c>
      <c r="AZ208" s="117">
        <f t="shared" si="32"/>
        <v>169.51500000000001</v>
      </c>
      <c r="BA208" s="117">
        <f t="shared" si="32"/>
        <v>2129.8857</v>
      </c>
      <c r="BB208" s="117">
        <f t="shared" si="32"/>
        <v>0</v>
      </c>
      <c r="BC208" s="117">
        <f t="shared" si="32"/>
        <v>5372.5792</v>
      </c>
      <c r="BD208" s="117">
        <f t="shared" si="32"/>
        <v>5268.994740000001</v>
      </c>
      <c r="BE208" s="117">
        <f t="shared" si="32"/>
        <v>276.61722999999995</v>
      </c>
      <c r="BF208" s="117">
        <f t="shared" si="32"/>
        <v>0</v>
      </c>
      <c r="BG208" s="117">
        <f t="shared" si="32"/>
        <v>0</v>
      </c>
      <c r="BH208" s="117">
        <f t="shared" si="32"/>
        <v>0</v>
      </c>
      <c r="BI208" s="117">
        <f t="shared" si="32"/>
        <v>0</v>
      </c>
      <c r="BJ208" s="117">
        <f t="shared" si="32"/>
        <v>13531.000979999997</v>
      </c>
      <c r="BK208" s="117"/>
      <c r="BL208" s="117">
        <f aca="true" t="shared" si="33" ref="BL208:BU208">SUBTOTAL(9,BL189:BL207)</f>
        <v>0</v>
      </c>
      <c r="BM208" s="117">
        <f t="shared" si="33"/>
        <v>0</v>
      </c>
      <c r="BN208" s="117">
        <f t="shared" si="33"/>
        <v>0</v>
      </c>
      <c r="BO208" s="117">
        <f t="shared" si="33"/>
        <v>0</v>
      </c>
      <c r="BP208" s="117">
        <f t="shared" si="33"/>
        <v>0</v>
      </c>
      <c r="BQ208" s="117">
        <f t="shared" si="33"/>
        <v>0</v>
      </c>
      <c r="BR208" s="117">
        <f t="shared" si="33"/>
        <v>0</v>
      </c>
      <c r="BS208" s="117">
        <f t="shared" si="33"/>
        <v>0</v>
      </c>
      <c r="BT208" s="117">
        <f t="shared" si="33"/>
        <v>0</v>
      </c>
      <c r="BU208" s="117">
        <f t="shared" si="33"/>
        <v>2144.141</v>
      </c>
    </row>
    <row r="209" spans="1:73" ht="32.25" customHeight="1" outlineLevel="2">
      <c r="A209" s="24" t="s">
        <v>1203</v>
      </c>
      <c r="B209" s="37" t="s">
        <v>1312</v>
      </c>
      <c r="C209" s="20" t="s">
        <v>1496</v>
      </c>
      <c r="D209" s="218" t="s">
        <v>1313</v>
      </c>
      <c r="E209" s="203" t="s">
        <v>2050</v>
      </c>
      <c r="F209" s="108">
        <f t="shared" si="23"/>
        <v>16712.246290000003</v>
      </c>
      <c r="G209" s="106">
        <f>I209+K209+O209+S209+U209+W209+Y209+AA209+AC209+AE209+AR209+AX209+BC209+BG209+BP209+BR209+BT209+AO209</f>
        <v>3750.55623</v>
      </c>
      <c r="H209" s="106">
        <f>J209+L209+M209+N209+P209+Q209+R209+T209+V209+X209+Z209+AB209+AD209+AF209+AG209+AJ209+AL209+AS209+AT209+AU209+AV209+AW209+AY209+AZ209+BA209+BB209+BD209+BE209+BF209+BH209+BI209+BJ209+BL209+BM209+BN209+BO209+BQ209+BS209+BU209+AH209+AI209+AK209+AM209+AN209+AP209+AQ209+BK209</f>
        <v>12961.690060000003</v>
      </c>
      <c r="I209" s="107"/>
      <c r="J209" s="107"/>
      <c r="K209" s="111"/>
      <c r="L209" s="111"/>
      <c r="M209" s="111"/>
      <c r="N209" s="111">
        <v>4197.51783</v>
      </c>
      <c r="O209" s="111"/>
      <c r="P209" s="111"/>
      <c r="Q209" s="111"/>
      <c r="R209" s="111"/>
      <c r="S209" s="106">
        <v>75.07501</v>
      </c>
      <c r="T209" s="106">
        <v>27.30001</v>
      </c>
      <c r="U209" s="106"/>
      <c r="V209" s="106"/>
      <c r="W209" s="106">
        <v>416.01716</v>
      </c>
      <c r="X209" s="106">
        <v>217.19008</v>
      </c>
      <c r="Y209" s="107">
        <v>24.32</v>
      </c>
      <c r="Z209" s="107">
        <v>63.888</v>
      </c>
      <c r="AA209" s="159">
        <v>762.03265</v>
      </c>
      <c r="AB209" s="106">
        <v>297.10964</v>
      </c>
      <c r="AC209" s="111"/>
      <c r="AD209" s="111"/>
      <c r="AE209" s="111"/>
      <c r="AF209" s="111"/>
      <c r="AG209" s="106"/>
      <c r="AH209" s="106"/>
      <c r="AI209" s="106"/>
      <c r="AJ209" s="108">
        <v>190.988</v>
      </c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>
        <v>1201.2182</v>
      </c>
      <c r="AY209" s="106">
        <v>260.78012</v>
      </c>
      <c r="AZ209" s="107"/>
      <c r="BA209" s="107">
        <f>3271.10092+1868.16524</f>
        <v>5139.26616</v>
      </c>
      <c r="BB209" s="107"/>
      <c r="BC209" s="107">
        <v>1271.89321</v>
      </c>
      <c r="BD209" s="107">
        <v>1247.31485</v>
      </c>
      <c r="BE209" s="107"/>
      <c r="BF209" s="107"/>
      <c r="BG209" s="107"/>
      <c r="BH209" s="107"/>
      <c r="BI209" s="107"/>
      <c r="BJ209" s="107">
        <v>1320.33537</v>
      </c>
      <c r="BK209" s="107"/>
      <c r="BL209" s="107"/>
      <c r="BM209" s="107"/>
      <c r="BN209" s="107"/>
      <c r="BO209" s="107"/>
      <c r="BP209" s="107"/>
      <c r="BQ209" s="109"/>
      <c r="BR209" s="109"/>
      <c r="BS209" s="109"/>
      <c r="BT209" s="109"/>
      <c r="BU209" s="138"/>
    </row>
    <row r="210" spans="1:73" ht="40.5" customHeight="1" outlineLevel="2">
      <c r="A210" s="35" t="s">
        <v>1203</v>
      </c>
      <c r="B210" s="37" t="s">
        <v>716</v>
      </c>
      <c r="C210" s="20" t="s">
        <v>1496</v>
      </c>
      <c r="D210" s="218" t="s">
        <v>1695</v>
      </c>
      <c r="E210" s="203" t="s">
        <v>2046</v>
      </c>
      <c r="F210" s="108">
        <f t="shared" si="23"/>
        <v>4906.430260000001</v>
      </c>
      <c r="G210" s="106">
        <f aca="true" t="shared" si="34" ref="G210:G227">I210+K210+O210+S210+U210+W210+Y210+AA210+AC210+AE210+AR210+AX210+BC210+BG210+BP210+BR210+BT210+AO210</f>
        <v>2308.40356</v>
      </c>
      <c r="H210" s="106">
        <f aca="true" t="shared" si="35" ref="H210:H227">J210+L210+M210+N210+P210+Q210+R210+T210+V210+X210+Z210+AB210+AD210+AF210+AG210+AJ210+AL210+AS210+AT210+AU210+AV210+AW210+AY210+AZ210+BA210+BB210+BD210+BE210+BF210+BH210+BI210+BJ210+BL210+BM210+BN210+BO210+BQ210+BS210+BU210+AH210+AI210+AK210+AM210+AN210+AP210+AQ210+BK210</f>
        <v>2598.0267000000003</v>
      </c>
      <c r="I210" s="110">
        <v>55.7461</v>
      </c>
      <c r="J210" s="107">
        <v>12.61395</v>
      </c>
      <c r="K210" s="107">
        <v>1532.96307</v>
      </c>
      <c r="L210" s="107">
        <v>360.25143</v>
      </c>
      <c r="M210" s="107">
        <v>273.99029</v>
      </c>
      <c r="N210" s="107"/>
      <c r="O210" s="106"/>
      <c r="P210" s="106"/>
      <c r="Q210" s="106">
        <v>168.58497</v>
      </c>
      <c r="R210" s="106"/>
      <c r="S210" s="106"/>
      <c r="T210" s="106"/>
      <c r="U210" s="106"/>
      <c r="V210" s="106"/>
      <c r="W210" s="106">
        <v>202.15395</v>
      </c>
      <c r="X210" s="106">
        <v>105.53851</v>
      </c>
      <c r="Y210" s="107">
        <v>8.41783</v>
      </c>
      <c r="Z210" s="106">
        <v>39.93</v>
      </c>
      <c r="AA210" s="159">
        <v>213.81862</v>
      </c>
      <c r="AB210" s="106">
        <v>99.03655</v>
      </c>
      <c r="AC210" s="107"/>
      <c r="AD210" s="107"/>
      <c r="AE210" s="107"/>
      <c r="AF210" s="107"/>
      <c r="AG210" s="107"/>
      <c r="AH210" s="107"/>
      <c r="AI210" s="107"/>
      <c r="AJ210" s="108">
        <v>494.12864</v>
      </c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6"/>
      <c r="AZ210" s="107"/>
      <c r="BA210" s="107"/>
      <c r="BB210" s="107"/>
      <c r="BC210" s="107">
        <v>295.30399</v>
      </c>
      <c r="BD210" s="107">
        <v>289.59618</v>
      </c>
      <c r="BE210" s="107"/>
      <c r="BF210" s="107"/>
      <c r="BG210" s="107"/>
      <c r="BH210" s="107"/>
      <c r="BI210" s="107"/>
      <c r="BJ210" s="107">
        <v>507.25338</v>
      </c>
      <c r="BK210" s="107"/>
      <c r="BL210" s="107"/>
      <c r="BM210" s="107">
        <v>247.1028</v>
      </c>
      <c r="BN210" s="107"/>
      <c r="BO210" s="107"/>
      <c r="BP210" s="107"/>
      <c r="BQ210" s="109"/>
      <c r="BR210" s="109"/>
      <c r="BS210" s="109"/>
      <c r="BT210" s="109"/>
      <c r="BU210" s="138"/>
    </row>
    <row r="211" spans="1:73" ht="30" customHeight="1" outlineLevel="2">
      <c r="A211" s="24" t="s">
        <v>1203</v>
      </c>
      <c r="B211" s="37" t="s">
        <v>1012</v>
      </c>
      <c r="C211" s="20" t="s">
        <v>1496</v>
      </c>
      <c r="D211" s="218" t="s">
        <v>1013</v>
      </c>
      <c r="E211" s="203" t="s">
        <v>2047</v>
      </c>
      <c r="F211" s="108">
        <f t="shared" si="23"/>
        <v>3203.96338</v>
      </c>
      <c r="G211" s="106">
        <f t="shared" si="34"/>
        <v>1497.7223900000001</v>
      </c>
      <c r="H211" s="106">
        <f t="shared" si="35"/>
        <v>1706.24099</v>
      </c>
      <c r="I211" s="107"/>
      <c r="J211" s="107"/>
      <c r="K211" s="107">
        <v>805.87566</v>
      </c>
      <c r="L211" s="107">
        <v>228.6186</v>
      </c>
      <c r="M211" s="107"/>
      <c r="N211" s="107"/>
      <c r="O211" s="106"/>
      <c r="P211" s="106"/>
      <c r="Q211" s="106">
        <v>100.40846</v>
      </c>
      <c r="R211" s="106"/>
      <c r="S211" s="106"/>
      <c r="T211" s="106"/>
      <c r="U211" s="106"/>
      <c r="V211" s="106"/>
      <c r="W211" s="106"/>
      <c r="X211" s="106"/>
      <c r="Y211" s="107">
        <v>38</v>
      </c>
      <c r="Z211" s="107">
        <v>99.825</v>
      </c>
      <c r="AA211" s="159">
        <v>240.13673</v>
      </c>
      <c r="AB211" s="106">
        <v>118.84385</v>
      </c>
      <c r="AC211" s="107"/>
      <c r="AD211" s="107"/>
      <c r="AE211" s="107"/>
      <c r="AF211" s="107"/>
      <c r="AG211" s="107"/>
      <c r="AH211" s="107"/>
      <c r="AI211" s="107"/>
      <c r="AJ211" s="108">
        <v>195.28976</v>
      </c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6"/>
      <c r="AZ211" s="107"/>
      <c r="BA211" s="107"/>
      <c r="BB211" s="107"/>
      <c r="BC211" s="107">
        <v>413.71</v>
      </c>
      <c r="BD211" s="107">
        <v>405.6977</v>
      </c>
      <c r="BE211" s="107"/>
      <c r="BF211" s="107"/>
      <c r="BG211" s="107"/>
      <c r="BH211" s="107"/>
      <c r="BI211" s="107"/>
      <c r="BJ211" s="107">
        <v>557.55762</v>
      </c>
      <c r="BK211" s="107"/>
      <c r="BL211" s="107"/>
      <c r="BM211" s="107"/>
      <c r="BN211" s="107"/>
      <c r="BO211" s="107"/>
      <c r="BP211" s="107"/>
      <c r="BQ211" s="109"/>
      <c r="BR211" s="109"/>
      <c r="BS211" s="109"/>
      <c r="BT211" s="109"/>
      <c r="BU211" s="138"/>
    </row>
    <row r="212" spans="1:73" ht="33.75" customHeight="1" outlineLevel="2">
      <c r="A212" s="24" t="s">
        <v>1203</v>
      </c>
      <c r="B212" s="37" t="s">
        <v>1314</v>
      </c>
      <c r="C212" s="20" t="s">
        <v>1496</v>
      </c>
      <c r="D212" s="218" t="s">
        <v>1315</v>
      </c>
      <c r="E212" s="203" t="s">
        <v>2048</v>
      </c>
      <c r="F212" s="108">
        <f t="shared" si="23"/>
        <v>5234.3647</v>
      </c>
      <c r="G212" s="106">
        <f t="shared" si="34"/>
        <v>2449.57443</v>
      </c>
      <c r="H212" s="106">
        <f t="shared" si="35"/>
        <v>2784.79027</v>
      </c>
      <c r="I212" s="107"/>
      <c r="J212" s="107"/>
      <c r="K212" s="107">
        <v>319.62317</v>
      </c>
      <c r="L212" s="107">
        <v>64.49459</v>
      </c>
      <c r="M212" s="107"/>
      <c r="N212" s="107"/>
      <c r="O212" s="106"/>
      <c r="P212" s="106"/>
      <c r="Q212" s="106"/>
      <c r="R212" s="106"/>
      <c r="S212" s="106">
        <v>40.062</v>
      </c>
      <c r="T212" s="106">
        <v>20.031</v>
      </c>
      <c r="U212" s="106"/>
      <c r="V212" s="106"/>
      <c r="W212" s="106">
        <v>625.45202</v>
      </c>
      <c r="X212" s="106">
        <v>326.52974</v>
      </c>
      <c r="Y212" s="107">
        <v>25.2535</v>
      </c>
      <c r="Z212" s="107">
        <v>119.79</v>
      </c>
      <c r="AA212" s="159">
        <v>588.32195</v>
      </c>
      <c r="AB212" s="106">
        <v>297.10964</v>
      </c>
      <c r="AC212" s="107"/>
      <c r="AD212" s="107"/>
      <c r="AE212" s="107"/>
      <c r="AF212" s="107"/>
      <c r="AG212" s="107"/>
      <c r="AH212" s="107"/>
      <c r="AI212" s="107"/>
      <c r="AJ212" s="108">
        <v>826.79876</v>
      </c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6"/>
      <c r="AZ212" s="107"/>
      <c r="BA212" s="107"/>
      <c r="BB212" s="107"/>
      <c r="BC212" s="107">
        <v>850.86179</v>
      </c>
      <c r="BD212" s="107">
        <v>834.41654</v>
      </c>
      <c r="BE212" s="107">
        <v>295.62</v>
      </c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9"/>
      <c r="BR212" s="109"/>
      <c r="BS212" s="109"/>
      <c r="BT212" s="109"/>
      <c r="BU212" s="138"/>
    </row>
    <row r="213" spans="1:73" ht="33" customHeight="1" outlineLevel="2">
      <c r="A213" s="24" t="s">
        <v>1203</v>
      </c>
      <c r="B213" s="37" t="s">
        <v>82</v>
      </c>
      <c r="C213" s="20" t="s">
        <v>1496</v>
      </c>
      <c r="D213" s="218" t="s">
        <v>83</v>
      </c>
      <c r="E213" s="203" t="s">
        <v>2049</v>
      </c>
      <c r="F213" s="108">
        <f t="shared" si="23"/>
        <v>469.22563</v>
      </c>
      <c r="G213" s="106">
        <f t="shared" si="34"/>
        <v>227.35495</v>
      </c>
      <c r="H213" s="106">
        <f t="shared" si="35"/>
        <v>241.87068000000002</v>
      </c>
      <c r="I213" s="107"/>
      <c r="J213" s="107"/>
      <c r="K213" s="107"/>
      <c r="L213" s="107"/>
      <c r="M213" s="107"/>
      <c r="N213" s="107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7">
        <v>8.056</v>
      </c>
      <c r="Z213" s="107">
        <v>21.1629</v>
      </c>
      <c r="AA213" s="159">
        <v>123.82912</v>
      </c>
      <c r="AB213" s="106">
        <v>83.1907</v>
      </c>
      <c r="AC213" s="107"/>
      <c r="AD213" s="107"/>
      <c r="AE213" s="107"/>
      <c r="AF213" s="107"/>
      <c r="AG213" s="107"/>
      <c r="AH213" s="107"/>
      <c r="AI213" s="107"/>
      <c r="AJ213" s="108">
        <v>43.8952</v>
      </c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6"/>
      <c r="AZ213" s="107"/>
      <c r="BA213" s="107"/>
      <c r="BB213" s="107"/>
      <c r="BC213" s="107">
        <v>95.46983</v>
      </c>
      <c r="BD213" s="107">
        <v>93.62188</v>
      </c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9"/>
      <c r="BR213" s="109"/>
      <c r="BS213" s="109"/>
      <c r="BT213" s="109"/>
      <c r="BU213" s="138"/>
    </row>
    <row r="214" spans="1:73" ht="42.75" customHeight="1" outlineLevel="2">
      <c r="A214" s="24" t="s">
        <v>1203</v>
      </c>
      <c r="B214" s="37" t="s">
        <v>1299</v>
      </c>
      <c r="C214" s="20" t="s">
        <v>1496</v>
      </c>
      <c r="D214" s="218" t="s">
        <v>878</v>
      </c>
      <c r="E214" s="203" t="s">
        <v>2052</v>
      </c>
      <c r="F214" s="108">
        <f t="shared" si="23"/>
        <v>284.23269</v>
      </c>
      <c r="G214" s="106">
        <f t="shared" si="34"/>
        <v>132.94425999999999</v>
      </c>
      <c r="H214" s="106">
        <f t="shared" si="35"/>
        <v>151.28843</v>
      </c>
      <c r="I214" s="107"/>
      <c r="J214" s="107"/>
      <c r="K214" s="107"/>
      <c r="L214" s="107"/>
      <c r="M214" s="107"/>
      <c r="N214" s="107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7"/>
      <c r="Z214" s="107"/>
      <c r="AA214" s="159">
        <v>64.0286</v>
      </c>
      <c r="AB214" s="106">
        <v>19.80731</v>
      </c>
      <c r="AC214" s="107"/>
      <c r="AD214" s="107"/>
      <c r="AE214" s="107"/>
      <c r="AF214" s="107"/>
      <c r="AG214" s="107"/>
      <c r="AH214" s="107"/>
      <c r="AI214" s="107"/>
      <c r="AJ214" s="108">
        <v>0</v>
      </c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6"/>
      <c r="AZ214" s="107"/>
      <c r="BA214" s="107">
        <v>62.87295</v>
      </c>
      <c r="BB214" s="107"/>
      <c r="BC214" s="107">
        <v>68.91566</v>
      </c>
      <c r="BD214" s="107">
        <v>68.60817</v>
      </c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9"/>
      <c r="BR214" s="109"/>
      <c r="BS214" s="109"/>
      <c r="BT214" s="109"/>
      <c r="BU214" s="138"/>
    </row>
    <row r="215" spans="1:73" ht="35.25" customHeight="1" outlineLevel="2">
      <c r="A215" s="24" t="s">
        <v>1203</v>
      </c>
      <c r="B215" s="37" t="s">
        <v>1310</v>
      </c>
      <c r="C215" s="20" t="s">
        <v>1496</v>
      </c>
      <c r="D215" s="218" t="s">
        <v>1311</v>
      </c>
      <c r="E215" s="203" t="s">
        <v>2050</v>
      </c>
      <c r="F215" s="108">
        <f t="shared" si="23"/>
        <v>2879.5322699999997</v>
      </c>
      <c r="G215" s="106">
        <f t="shared" si="34"/>
        <v>1353.0634</v>
      </c>
      <c r="H215" s="106">
        <f t="shared" si="35"/>
        <v>1526.46887</v>
      </c>
      <c r="I215" s="107"/>
      <c r="J215" s="107"/>
      <c r="K215" s="107">
        <v>14.84926</v>
      </c>
      <c r="L215" s="107">
        <v>1.18977</v>
      </c>
      <c r="M215" s="107"/>
      <c r="N215" s="107"/>
      <c r="O215" s="106"/>
      <c r="P215" s="106"/>
      <c r="Q215" s="106"/>
      <c r="R215" s="106"/>
      <c r="S215" s="106"/>
      <c r="T215" s="106"/>
      <c r="U215" s="106"/>
      <c r="V215" s="106"/>
      <c r="W215" s="106">
        <v>576.74416</v>
      </c>
      <c r="X215" s="106">
        <v>301.10082</v>
      </c>
      <c r="Y215" s="107">
        <v>33.44</v>
      </c>
      <c r="Z215" s="107">
        <v>87.846</v>
      </c>
      <c r="AA215" s="159">
        <v>101.60435</v>
      </c>
      <c r="AB215" s="106">
        <v>39.61462</v>
      </c>
      <c r="AC215" s="107"/>
      <c r="AD215" s="107"/>
      <c r="AE215" s="107"/>
      <c r="AF215" s="107"/>
      <c r="AG215" s="107"/>
      <c r="AH215" s="107"/>
      <c r="AI215" s="107"/>
      <c r="AJ215" s="108">
        <v>266.59752</v>
      </c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6"/>
      <c r="AZ215" s="107"/>
      <c r="BA215" s="107"/>
      <c r="BB215" s="107"/>
      <c r="BC215" s="107">
        <v>626.42563</v>
      </c>
      <c r="BD215" s="107">
        <v>614.30887</v>
      </c>
      <c r="BE215" s="107"/>
      <c r="BF215" s="107"/>
      <c r="BG215" s="107"/>
      <c r="BH215" s="107"/>
      <c r="BI215" s="107"/>
      <c r="BJ215" s="107"/>
      <c r="BK215" s="107"/>
      <c r="BL215" s="107"/>
      <c r="BM215" s="107">
        <v>215.81127</v>
      </c>
      <c r="BN215" s="107"/>
      <c r="BO215" s="107"/>
      <c r="BP215" s="107"/>
      <c r="BQ215" s="109"/>
      <c r="BR215" s="109"/>
      <c r="BS215" s="109"/>
      <c r="BT215" s="109"/>
      <c r="BU215" s="138"/>
    </row>
    <row r="216" spans="1:73" ht="43.5" customHeight="1" outlineLevel="2">
      <c r="A216" s="24" t="s">
        <v>1203</v>
      </c>
      <c r="B216" s="37" t="s">
        <v>361</v>
      </c>
      <c r="C216" s="20" t="s">
        <v>1496</v>
      </c>
      <c r="D216" s="218" t="s">
        <v>694</v>
      </c>
      <c r="E216" s="203" t="s">
        <v>2788</v>
      </c>
      <c r="F216" s="108">
        <f t="shared" si="23"/>
        <v>71.18444</v>
      </c>
      <c r="G216" s="106">
        <f t="shared" si="34"/>
        <v>56.94755</v>
      </c>
      <c r="H216" s="106">
        <f t="shared" si="35"/>
        <v>14.23689</v>
      </c>
      <c r="I216" s="107"/>
      <c r="J216" s="107"/>
      <c r="K216" s="107">
        <v>56.94755</v>
      </c>
      <c r="L216" s="107">
        <v>14.23689</v>
      </c>
      <c r="M216" s="107"/>
      <c r="N216" s="107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7"/>
      <c r="Z216" s="107"/>
      <c r="AA216" s="106"/>
      <c r="AB216" s="106"/>
      <c r="AC216" s="107"/>
      <c r="AD216" s="107"/>
      <c r="AE216" s="107"/>
      <c r="AF216" s="107"/>
      <c r="AG216" s="107"/>
      <c r="AH216" s="107"/>
      <c r="AI216" s="107"/>
      <c r="AJ216" s="108">
        <v>0</v>
      </c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6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7"/>
      <c r="BQ216" s="109"/>
      <c r="BR216" s="109"/>
      <c r="BS216" s="109"/>
      <c r="BT216" s="109"/>
      <c r="BU216" s="138"/>
    </row>
    <row r="217" spans="1:73" ht="25.5" customHeight="1" outlineLevel="2">
      <c r="A217" s="35" t="s">
        <v>1203</v>
      </c>
      <c r="B217" s="37" t="s">
        <v>1471</v>
      </c>
      <c r="C217" s="20" t="s">
        <v>1496</v>
      </c>
      <c r="D217" s="218" t="s">
        <v>695</v>
      </c>
      <c r="E217" s="203" t="s">
        <v>2051</v>
      </c>
      <c r="F217" s="108">
        <f t="shared" si="23"/>
        <v>1868.0590499999998</v>
      </c>
      <c r="G217" s="106">
        <f t="shared" si="34"/>
        <v>933.73836</v>
      </c>
      <c r="H217" s="106">
        <f t="shared" si="35"/>
        <v>934.32069</v>
      </c>
      <c r="I217" s="107"/>
      <c r="J217" s="107"/>
      <c r="K217" s="107"/>
      <c r="L217" s="107"/>
      <c r="M217" s="107"/>
      <c r="N217" s="113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3">
        <v>22.8</v>
      </c>
      <c r="Z217" s="113">
        <v>59.895</v>
      </c>
      <c r="AA217" s="159">
        <v>152.08743</v>
      </c>
      <c r="AB217" s="106">
        <v>79.22924</v>
      </c>
      <c r="AC217" s="107"/>
      <c r="AD217" s="107"/>
      <c r="AE217" s="107"/>
      <c r="AF217" s="107"/>
      <c r="AG217" s="107"/>
      <c r="AH217" s="107"/>
      <c r="AI217" s="107"/>
      <c r="AJ217" s="108">
        <v>51.061080000000004</v>
      </c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6"/>
      <c r="AZ217" s="107"/>
      <c r="BA217" s="107"/>
      <c r="BB217" s="107"/>
      <c r="BC217" s="107">
        <v>758.85093</v>
      </c>
      <c r="BD217" s="107">
        <v>744.13537</v>
      </c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9"/>
      <c r="BR217" s="109"/>
      <c r="BS217" s="109"/>
      <c r="BT217" s="109"/>
      <c r="BU217" s="138"/>
    </row>
    <row r="218" spans="1:73" ht="39" customHeight="1" outlineLevel="2">
      <c r="A218" s="24" t="s">
        <v>1203</v>
      </c>
      <c r="B218" s="37" t="s">
        <v>421</v>
      </c>
      <c r="C218" s="20" t="s">
        <v>587</v>
      </c>
      <c r="D218" s="218" t="s">
        <v>611</v>
      </c>
      <c r="E218" s="220" t="s">
        <v>2037</v>
      </c>
      <c r="F218" s="108">
        <f t="shared" si="23"/>
        <v>625.1523099999999</v>
      </c>
      <c r="G218" s="106">
        <f t="shared" si="34"/>
        <v>180.66530999999998</v>
      </c>
      <c r="H218" s="106">
        <f t="shared" si="35"/>
        <v>444.48699999999997</v>
      </c>
      <c r="I218" s="107"/>
      <c r="J218" s="107"/>
      <c r="K218" s="107"/>
      <c r="L218" s="107"/>
      <c r="M218" s="107"/>
      <c r="N218" s="119"/>
      <c r="O218" s="120">
        <v>16.61013</v>
      </c>
      <c r="P218" s="120">
        <v>0.87421</v>
      </c>
      <c r="Q218" s="120"/>
      <c r="R218" s="120"/>
      <c r="S218" s="120"/>
      <c r="T218" s="120"/>
      <c r="U218" s="120"/>
      <c r="V218" s="120"/>
      <c r="W218" s="120"/>
      <c r="X218" s="120"/>
      <c r="Y218" s="119"/>
      <c r="Z218" s="119"/>
      <c r="AA218" s="159">
        <v>43.64304</v>
      </c>
      <c r="AB218" s="106">
        <v>39.61462</v>
      </c>
      <c r="AC218" s="119"/>
      <c r="AD218" s="119"/>
      <c r="AE218" s="119"/>
      <c r="AF218" s="119"/>
      <c r="AG218" s="119"/>
      <c r="AH218" s="119"/>
      <c r="AI218" s="119"/>
      <c r="AJ218" s="108">
        <v>9.14124</v>
      </c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20"/>
      <c r="AZ218" s="119">
        <v>50.562</v>
      </c>
      <c r="BA218" s="119"/>
      <c r="BB218" s="119"/>
      <c r="BC218" s="119">
        <v>120.41214</v>
      </c>
      <c r="BD218" s="119">
        <v>118.07727</v>
      </c>
      <c r="BE218" s="119"/>
      <c r="BF218" s="119"/>
      <c r="BG218" s="119"/>
      <c r="BH218" s="119"/>
      <c r="BI218" s="119"/>
      <c r="BJ218" s="119">
        <v>226.21766</v>
      </c>
      <c r="BK218" s="119"/>
      <c r="BL218" s="119"/>
      <c r="BM218" s="119"/>
      <c r="BN218" s="119"/>
      <c r="BO218" s="119"/>
      <c r="BP218" s="119"/>
      <c r="BQ218" s="121"/>
      <c r="BR218" s="121"/>
      <c r="BS218" s="121"/>
      <c r="BT218" s="121"/>
      <c r="BU218" s="140"/>
    </row>
    <row r="219" spans="1:73" ht="39" customHeight="1" outlineLevel="2">
      <c r="A219" s="24" t="s">
        <v>1203</v>
      </c>
      <c r="B219" s="19" t="s">
        <v>417</v>
      </c>
      <c r="C219" s="20" t="s">
        <v>587</v>
      </c>
      <c r="D219" s="218" t="s">
        <v>396</v>
      </c>
      <c r="E219" s="220" t="s">
        <v>2038</v>
      </c>
      <c r="F219" s="108">
        <f t="shared" si="23"/>
        <v>3067.0167500000002</v>
      </c>
      <c r="G219" s="106">
        <f t="shared" si="34"/>
        <v>1776.62397</v>
      </c>
      <c r="H219" s="106">
        <f t="shared" si="35"/>
        <v>1290.3927800000001</v>
      </c>
      <c r="I219" s="107"/>
      <c r="J219" s="107"/>
      <c r="K219" s="107"/>
      <c r="L219" s="107"/>
      <c r="M219" s="107"/>
      <c r="N219" s="107"/>
      <c r="O219" s="106">
        <f>500.97199+77.83956</f>
        <v>578.81155</v>
      </c>
      <c r="P219" s="106">
        <f>19.58858+38.91977</f>
        <v>58.50835</v>
      </c>
      <c r="Q219" s="106"/>
      <c r="R219" s="106"/>
      <c r="S219" s="106"/>
      <c r="T219" s="106"/>
      <c r="U219" s="106"/>
      <c r="V219" s="106"/>
      <c r="W219" s="106"/>
      <c r="X219" s="106"/>
      <c r="Y219" s="107">
        <v>30.4</v>
      </c>
      <c r="Z219" s="107">
        <v>79.86</v>
      </c>
      <c r="AA219" s="159">
        <v>625.72803</v>
      </c>
      <c r="AB219" s="106">
        <v>396.14618</v>
      </c>
      <c r="AC219" s="107"/>
      <c r="AD219" s="107"/>
      <c r="AE219" s="107"/>
      <c r="AF219" s="107"/>
      <c r="AG219" s="107"/>
      <c r="AH219" s="107"/>
      <c r="AI219" s="107"/>
      <c r="AJ219" s="108">
        <v>224.67768</v>
      </c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6"/>
      <c r="AZ219" s="107"/>
      <c r="BA219" s="107"/>
      <c r="BB219" s="107"/>
      <c r="BC219" s="107">
        <v>541.68439</v>
      </c>
      <c r="BD219" s="107">
        <v>531.20057</v>
      </c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9"/>
      <c r="BR219" s="109"/>
      <c r="BS219" s="109"/>
      <c r="BT219" s="109"/>
      <c r="BU219" s="138"/>
    </row>
    <row r="220" spans="1:73" ht="39" customHeight="1" outlineLevel="2">
      <c r="A220" s="24" t="s">
        <v>1203</v>
      </c>
      <c r="B220" s="37" t="s">
        <v>548</v>
      </c>
      <c r="C220" s="20" t="s">
        <v>587</v>
      </c>
      <c r="D220" s="218" t="s">
        <v>1573</v>
      </c>
      <c r="E220" s="220" t="s">
        <v>2039</v>
      </c>
      <c r="F220" s="108">
        <f t="shared" si="23"/>
        <v>21.44088</v>
      </c>
      <c r="G220" s="106">
        <f t="shared" si="34"/>
        <v>16.23652</v>
      </c>
      <c r="H220" s="106">
        <f t="shared" si="35"/>
        <v>5.20436</v>
      </c>
      <c r="I220" s="107"/>
      <c r="J220" s="107"/>
      <c r="K220" s="107"/>
      <c r="L220" s="107"/>
      <c r="M220" s="107"/>
      <c r="N220" s="107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7"/>
      <c r="Z220" s="107"/>
      <c r="AA220" s="159"/>
      <c r="AB220" s="106"/>
      <c r="AC220" s="107"/>
      <c r="AD220" s="107"/>
      <c r="AE220" s="107"/>
      <c r="AF220" s="107"/>
      <c r="AG220" s="107"/>
      <c r="AH220" s="107"/>
      <c r="AI220" s="107"/>
      <c r="AJ220" s="108">
        <v>0</v>
      </c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>
        <v>16.23652</v>
      </c>
      <c r="AY220" s="106">
        <v>5.20436</v>
      </c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9"/>
      <c r="BR220" s="109"/>
      <c r="BS220" s="109"/>
      <c r="BT220" s="109"/>
      <c r="BU220" s="138"/>
    </row>
    <row r="221" spans="1:73" ht="39" customHeight="1" outlineLevel="2">
      <c r="A221" s="24" t="s">
        <v>1203</v>
      </c>
      <c r="B221" s="37" t="s">
        <v>1780</v>
      </c>
      <c r="C221" s="20" t="s">
        <v>587</v>
      </c>
      <c r="D221" s="218" t="s">
        <v>1793</v>
      </c>
      <c r="E221" s="220" t="s">
        <v>2040</v>
      </c>
      <c r="F221" s="108">
        <f t="shared" si="23"/>
        <v>1725</v>
      </c>
      <c r="G221" s="106">
        <f t="shared" si="34"/>
        <v>0</v>
      </c>
      <c r="H221" s="106">
        <f t="shared" si="35"/>
        <v>1725</v>
      </c>
      <c r="I221" s="107"/>
      <c r="J221" s="107"/>
      <c r="K221" s="107"/>
      <c r="L221" s="107"/>
      <c r="M221" s="107"/>
      <c r="N221" s="107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7"/>
      <c r="Z221" s="107"/>
      <c r="AA221" s="159"/>
      <c r="AB221" s="106"/>
      <c r="AC221" s="107"/>
      <c r="AD221" s="107"/>
      <c r="AE221" s="107"/>
      <c r="AF221" s="107"/>
      <c r="AG221" s="107"/>
      <c r="AH221" s="107"/>
      <c r="AI221" s="107"/>
      <c r="AJ221" s="108">
        <v>0</v>
      </c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6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9">
        <v>225</v>
      </c>
      <c r="BR221" s="109"/>
      <c r="BS221" s="109">
        <v>1500</v>
      </c>
      <c r="BT221" s="109"/>
      <c r="BU221" s="138"/>
    </row>
    <row r="222" spans="1:73" ht="39" customHeight="1" outlineLevel="2">
      <c r="A222" s="24" t="s">
        <v>1203</v>
      </c>
      <c r="B222" s="37" t="s">
        <v>419</v>
      </c>
      <c r="C222" s="20" t="s">
        <v>587</v>
      </c>
      <c r="D222" s="218" t="s">
        <v>1072</v>
      </c>
      <c r="E222" s="220" t="s">
        <v>2041</v>
      </c>
      <c r="F222" s="108">
        <f t="shared" si="23"/>
        <v>3524.5933999999997</v>
      </c>
      <c r="G222" s="106">
        <f t="shared" si="34"/>
        <v>1483.6646999999998</v>
      </c>
      <c r="H222" s="106">
        <f t="shared" si="35"/>
        <v>2040.9287</v>
      </c>
      <c r="I222" s="107"/>
      <c r="J222" s="107"/>
      <c r="K222" s="107"/>
      <c r="L222" s="107"/>
      <c r="M222" s="107"/>
      <c r="N222" s="107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7">
        <v>99.168</v>
      </c>
      <c r="Z222" s="107">
        <v>107.9337</v>
      </c>
      <c r="AA222" s="159">
        <v>527.94575</v>
      </c>
      <c r="AB222" s="106">
        <v>297.10964</v>
      </c>
      <c r="AC222" s="107"/>
      <c r="AD222" s="107"/>
      <c r="AE222" s="107"/>
      <c r="AF222" s="107"/>
      <c r="AG222" s="107"/>
      <c r="AH222" s="107"/>
      <c r="AI222" s="107"/>
      <c r="AJ222" s="108">
        <v>795.906</v>
      </c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6"/>
      <c r="AZ222" s="107"/>
      <c r="BA222" s="107"/>
      <c r="BB222" s="107"/>
      <c r="BC222" s="107">
        <v>856.55095</v>
      </c>
      <c r="BD222" s="107">
        <v>839.97936</v>
      </c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9"/>
      <c r="BR222" s="109"/>
      <c r="BS222" s="109"/>
      <c r="BT222" s="109"/>
      <c r="BU222" s="138"/>
    </row>
    <row r="223" spans="1:73" ht="39" customHeight="1" outlineLevel="2">
      <c r="A223" s="24" t="s">
        <v>1203</v>
      </c>
      <c r="B223" s="37" t="s">
        <v>420</v>
      </c>
      <c r="C223" s="20" t="s">
        <v>587</v>
      </c>
      <c r="D223" s="218" t="s">
        <v>625</v>
      </c>
      <c r="E223" s="220" t="s">
        <v>2042</v>
      </c>
      <c r="F223" s="108">
        <f t="shared" si="23"/>
        <v>2696.6794999999997</v>
      </c>
      <c r="G223" s="106">
        <f t="shared" si="34"/>
        <v>1228.11233</v>
      </c>
      <c r="H223" s="106">
        <f t="shared" si="35"/>
        <v>1468.5671699999998</v>
      </c>
      <c r="I223" s="107"/>
      <c r="J223" s="107"/>
      <c r="K223" s="107"/>
      <c r="L223" s="107"/>
      <c r="M223" s="107"/>
      <c r="N223" s="107"/>
      <c r="O223" s="106">
        <f>18.3189</f>
        <v>18.3189</v>
      </c>
      <c r="P223" s="106">
        <f>9.15947</f>
        <v>9.15947</v>
      </c>
      <c r="Q223" s="106"/>
      <c r="R223" s="106"/>
      <c r="S223" s="106"/>
      <c r="T223" s="106"/>
      <c r="U223" s="106"/>
      <c r="V223" s="106"/>
      <c r="W223" s="106">
        <v>431.00105</v>
      </c>
      <c r="X223" s="106">
        <v>225.01272</v>
      </c>
      <c r="Y223" s="107"/>
      <c r="Z223" s="107"/>
      <c r="AA223" s="159">
        <v>227.81601</v>
      </c>
      <c r="AB223" s="106">
        <v>158.45847</v>
      </c>
      <c r="AC223" s="107"/>
      <c r="AD223" s="107"/>
      <c r="AE223" s="107"/>
      <c r="AF223" s="107"/>
      <c r="AG223" s="107"/>
      <c r="AH223" s="107"/>
      <c r="AI223" s="107"/>
      <c r="AJ223" s="108">
        <v>244.91320000000002</v>
      </c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6"/>
      <c r="AZ223" s="107"/>
      <c r="BA223" s="107"/>
      <c r="BB223" s="107"/>
      <c r="BC223" s="107">
        <v>550.97637</v>
      </c>
      <c r="BD223" s="107">
        <v>540.3128</v>
      </c>
      <c r="BE223" s="107"/>
      <c r="BF223" s="107"/>
      <c r="BG223" s="107"/>
      <c r="BH223" s="107"/>
      <c r="BI223" s="107"/>
      <c r="BJ223" s="107">
        <v>290.71051</v>
      </c>
      <c r="BK223" s="107"/>
      <c r="BL223" s="107"/>
      <c r="BM223" s="107"/>
      <c r="BN223" s="107"/>
      <c r="BO223" s="107"/>
      <c r="BP223" s="107"/>
      <c r="BQ223" s="109"/>
      <c r="BR223" s="109"/>
      <c r="BS223" s="109"/>
      <c r="BT223" s="109"/>
      <c r="BU223" s="138"/>
    </row>
    <row r="224" spans="1:73" ht="25.5" customHeight="1" outlineLevel="2">
      <c r="A224" s="24" t="s">
        <v>1203</v>
      </c>
      <c r="B224" s="37" t="s">
        <v>418</v>
      </c>
      <c r="C224" s="20" t="s">
        <v>710</v>
      </c>
      <c r="D224" s="218" t="s">
        <v>81</v>
      </c>
      <c r="E224" s="220" t="s">
        <v>2043</v>
      </c>
      <c r="F224" s="108">
        <f t="shared" si="23"/>
        <v>851.9127</v>
      </c>
      <c r="G224" s="106">
        <f t="shared" si="34"/>
        <v>403.88936</v>
      </c>
      <c r="H224" s="106">
        <f t="shared" si="35"/>
        <v>448.02333999999996</v>
      </c>
      <c r="I224" s="107"/>
      <c r="J224" s="107"/>
      <c r="K224" s="107"/>
      <c r="L224" s="107"/>
      <c r="M224" s="107"/>
      <c r="N224" s="107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7">
        <v>10.64</v>
      </c>
      <c r="Z224" s="107">
        <v>27.951</v>
      </c>
      <c r="AA224" s="159">
        <v>213.80096</v>
      </c>
      <c r="AB224" s="106">
        <v>158.45847</v>
      </c>
      <c r="AC224" s="107"/>
      <c r="AD224" s="107"/>
      <c r="AE224" s="107"/>
      <c r="AF224" s="107"/>
      <c r="AG224" s="107"/>
      <c r="AH224" s="107"/>
      <c r="AI224" s="107"/>
      <c r="AJ224" s="108">
        <v>85.63952</v>
      </c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6"/>
      <c r="AZ224" s="107"/>
      <c r="BA224" s="107"/>
      <c r="BB224" s="107"/>
      <c r="BC224" s="107">
        <v>179.4484</v>
      </c>
      <c r="BD224" s="107">
        <v>175.97435</v>
      </c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9"/>
      <c r="BR224" s="109"/>
      <c r="BS224" s="109"/>
      <c r="BT224" s="109"/>
      <c r="BU224" s="138"/>
    </row>
    <row r="225" spans="1:73" ht="40.5" outlineLevel="2">
      <c r="A225" s="24" t="s">
        <v>1203</v>
      </c>
      <c r="B225" s="37" t="s">
        <v>388</v>
      </c>
      <c r="C225" s="20" t="s">
        <v>587</v>
      </c>
      <c r="D225" s="218" t="s">
        <v>1583</v>
      </c>
      <c r="E225" s="220" t="s">
        <v>2044</v>
      </c>
      <c r="F225" s="108">
        <f t="shared" si="23"/>
        <v>14.67</v>
      </c>
      <c r="G225" s="106">
        <f t="shared" si="34"/>
        <v>0</v>
      </c>
      <c r="H225" s="106">
        <f t="shared" si="35"/>
        <v>14.67</v>
      </c>
      <c r="I225" s="107"/>
      <c r="J225" s="107"/>
      <c r="K225" s="107"/>
      <c r="L225" s="107"/>
      <c r="M225" s="107"/>
      <c r="N225" s="107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7"/>
      <c r="Z225" s="107"/>
      <c r="AA225" s="159"/>
      <c r="AB225" s="106"/>
      <c r="AC225" s="107"/>
      <c r="AD225" s="107"/>
      <c r="AE225" s="107"/>
      <c r="AF225" s="107"/>
      <c r="AG225" s="107"/>
      <c r="AH225" s="107"/>
      <c r="AI225" s="107"/>
      <c r="AJ225" s="108">
        <v>0</v>
      </c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6"/>
      <c r="AZ225" s="107">
        <v>14.67</v>
      </c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9"/>
      <c r="BR225" s="109"/>
      <c r="BS225" s="109"/>
      <c r="BT225" s="109"/>
      <c r="BU225" s="138"/>
    </row>
    <row r="226" spans="1:73" ht="44.25" customHeight="1" outlineLevel="2">
      <c r="A226" s="24" t="s">
        <v>1203</v>
      </c>
      <c r="B226" s="37" t="s">
        <v>1735</v>
      </c>
      <c r="C226" s="20" t="s">
        <v>1338</v>
      </c>
      <c r="D226" s="218" t="s">
        <v>1736</v>
      </c>
      <c r="E226" s="203" t="s">
        <v>2045</v>
      </c>
      <c r="F226" s="108">
        <f t="shared" si="23"/>
        <v>793.36857</v>
      </c>
      <c r="G226" s="106">
        <f t="shared" si="34"/>
        <v>0</v>
      </c>
      <c r="H226" s="106">
        <f t="shared" si="35"/>
        <v>793.36857</v>
      </c>
      <c r="I226" s="107"/>
      <c r="J226" s="107"/>
      <c r="K226" s="107"/>
      <c r="L226" s="107"/>
      <c r="M226" s="107"/>
      <c r="N226" s="107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7"/>
      <c r="Z226" s="107"/>
      <c r="AA226" s="159"/>
      <c r="AB226" s="106"/>
      <c r="AC226" s="107"/>
      <c r="AD226" s="107"/>
      <c r="AE226" s="107"/>
      <c r="AF226" s="107"/>
      <c r="AG226" s="107"/>
      <c r="AH226" s="107"/>
      <c r="AI226" s="107"/>
      <c r="AJ226" s="108">
        <v>0</v>
      </c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6"/>
      <c r="AZ226" s="107"/>
      <c r="BA226" s="107"/>
      <c r="BB226" s="107"/>
      <c r="BC226" s="107"/>
      <c r="BD226" s="118"/>
      <c r="BE226" s="107"/>
      <c r="BF226" s="107"/>
      <c r="BG226" s="107"/>
      <c r="BH226" s="107"/>
      <c r="BI226" s="107"/>
      <c r="BJ226" s="107">
        <v>793.36857</v>
      </c>
      <c r="BK226" s="107"/>
      <c r="BL226" s="107"/>
      <c r="BM226" s="107"/>
      <c r="BN226" s="107"/>
      <c r="BO226" s="107"/>
      <c r="BP226" s="107"/>
      <c r="BQ226" s="109"/>
      <c r="BR226" s="109"/>
      <c r="BS226" s="109"/>
      <c r="BT226" s="109"/>
      <c r="BU226" s="138"/>
    </row>
    <row r="227" spans="1:73" ht="39.75" customHeight="1" outlineLevel="2" thickBot="1">
      <c r="A227" s="35" t="s">
        <v>1203</v>
      </c>
      <c r="B227" s="37" t="s">
        <v>688</v>
      </c>
      <c r="C227" s="20" t="s">
        <v>934</v>
      </c>
      <c r="D227" s="218" t="s">
        <v>6</v>
      </c>
      <c r="E227" s="203" t="s">
        <v>2812</v>
      </c>
      <c r="F227" s="108">
        <f t="shared" si="23"/>
        <v>255.47017</v>
      </c>
      <c r="G227" s="106">
        <f t="shared" si="34"/>
        <v>244.00474</v>
      </c>
      <c r="H227" s="106">
        <f t="shared" si="35"/>
        <v>11.46543</v>
      </c>
      <c r="I227" s="107"/>
      <c r="J227" s="107"/>
      <c r="K227" s="107"/>
      <c r="L227" s="107"/>
      <c r="M227" s="107"/>
      <c r="N227" s="107"/>
      <c r="O227" s="106">
        <v>244.00474</v>
      </c>
      <c r="P227" s="106">
        <v>11.46543</v>
      </c>
      <c r="Q227" s="106"/>
      <c r="R227" s="106"/>
      <c r="S227" s="106"/>
      <c r="T227" s="106"/>
      <c r="U227" s="106"/>
      <c r="V227" s="106"/>
      <c r="W227" s="106"/>
      <c r="X227" s="106"/>
      <c r="Y227" s="107"/>
      <c r="Z227" s="107"/>
      <c r="AA227" s="106"/>
      <c r="AB227" s="106"/>
      <c r="AC227" s="107"/>
      <c r="AD227" s="107"/>
      <c r="AE227" s="107"/>
      <c r="AF227" s="107"/>
      <c r="AG227" s="107"/>
      <c r="AH227" s="107"/>
      <c r="AI227" s="107"/>
      <c r="AJ227" s="108">
        <v>0</v>
      </c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6"/>
      <c r="AZ227" s="107"/>
      <c r="BA227" s="107"/>
      <c r="BB227" s="107"/>
      <c r="BC227" s="138"/>
      <c r="BD227" s="124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9"/>
      <c r="BR227" s="109"/>
      <c r="BS227" s="109"/>
      <c r="BT227" s="109"/>
      <c r="BU227" s="138"/>
    </row>
    <row r="228" spans="1:73" s="32" customFormat="1" ht="20.25" outlineLevel="1">
      <c r="A228" s="62" t="s">
        <v>64</v>
      </c>
      <c r="B228" s="63"/>
      <c r="C228" s="64" t="s">
        <v>1572</v>
      </c>
      <c r="D228" s="234"/>
      <c r="E228" s="235"/>
      <c r="F228" s="125">
        <f aca="true" t="shared" si="36" ref="F228:BJ228">SUBTOTAL(9,F209:F227)</f>
        <v>49204.54299</v>
      </c>
      <c r="G228" s="125">
        <f t="shared" si="36"/>
        <v>18043.502060000003</v>
      </c>
      <c r="H228" s="125">
        <f t="shared" si="36"/>
        <v>31161.040930000003</v>
      </c>
      <c r="I228" s="125">
        <f t="shared" si="36"/>
        <v>55.7461</v>
      </c>
      <c r="J228" s="125">
        <f t="shared" si="36"/>
        <v>12.61395</v>
      </c>
      <c r="K228" s="125">
        <f t="shared" si="36"/>
        <v>2730.2587099999996</v>
      </c>
      <c r="L228" s="125">
        <f t="shared" si="36"/>
        <v>668.79128</v>
      </c>
      <c r="M228" s="125">
        <f t="shared" si="36"/>
        <v>273.99029</v>
      </c>
      <c r="N228" s="125">
        <f t="shared" si="36"/>
        <v>4197.51783</v>
      </c>
      <c r="O228" s="125">
        <f t="shared" si="36"/>
        <v>857.74532</v>
      </c>
      <c r="P228" s="125">
        <f t="shared" si="36"/>
        <v>80.00746</v>
      </c>
      <c r="Q228" s="125">
        <f t="shared" si="36"/>
        <v>268.99343</v>
      </c>
      <c r="R228" s="125">
        <f t="shared" si="36"/>
        <v>0</v>
      </c>
      <c r="S228" s="125">
        <f t="shared" si="36"/>
        <v>115.13701</v>
      </c>
      <c r="T228" s="125">
        <f t="shared" si="36"/>
        <v>47.33101</v>
      </c>
      <c r="U228" s="125">
        <f t="shared" si="36"/>
        <v>0</v>
      </c>
      <c r="V228" s="125">
        <f t="shared" si="36"/>
        <v>0</v>
      </c>
      <c r="W228" s="125">
        <f t="shared" si="36"/>
        <v>2251.36834</v>
      </c>
      <c r="X228" s="125">
        <f t="shared" si="36"/>
        <v>1175.37187</v>
      </c>
      <c r="Y228" s="125">
        <f t="shared" si="36"/>
        <v>300.49532999999997</v>
      </c>
      <c r="Z228" s="125">
        <f t="shared" si="36"/>
        <v>708.0816</v>
      </c>
      <c r="AA228" s="125">
        <f t="shared" si="36"/>
        <v>3884.79324</v>
      </c>
      <c r="AB228" s="125">
        <f t="shared" si="36"/>
        <v>2083.72893</v>
      </c>
      <c r="AC228" s="125">
        <f t="shared" si="36"/>
        <v>0</v>
      </c>
      <c r="AD228" s="125">
        <f t="shared" si="36"/>
        <v>0</v>
      </c>
      <c r="AE228" s="125">
        <f t="shared" si="36"/>
        <v>0</v>
      </c>
      <c r="AF228" s="125">
        <f t="shared" si="36"/>
        <v>0</v>
      </c>
      <c r="AG228" s="125">
        <f t="shared" si="36"/>
        <v>0</v>
      </c>
      <c r="AH228" s="125">
        <f t="shared" si="36"/>
        <v>0</v>
      </c>
      <c r="AI228" s="125">
        <f t="shared" si="36"/>
        <v>0</v>
      </c>
      <c r="AJ228" s="125">
        <f>SUBTOTAL(9,AJ209:AJ227)</f>
        <v>3429.0366</v>
      </c>
      <c r="AK228" s="125">
        <f t="shared" si="36"/>
        <v>0</v>
      </c>
      <c r="AL228" s="125">
        <f t="shared" si="36"/>
        <v>0</v>
      </c>
      <c r="AM228" s="125">
        <f t="shared" si="36"/>
        <v>0</v>
      </c>
      <c r="AN228" s="125">
        <f t="shared" si="36"/>
        <v>0</v>
      </c>
      <c r="AO228" s="125">
        <f t="shared" si="36"/>
        <v>0</v>
      </c>
      <c r="AP228" s="125">
        <f t="shared" si="36"/>
        <v>0</v>
      </c>
      <c r="AQ228" s="125">
        <f t="shared" si="36"/>
        <v>0</v>
      </c>
      <c r="AR228" s="125">
        <f t="shared" si="36"/>
        <v>0</v>
      </c>
      <c r="AS228" s="125">
        <f t="shared" si="36"/>
        <v>0</v>
      </c>
      <c r="AT228" s="125">
        <f t="shared" si="36"/>
        <v>0</v>
      </c>
      <c r="AU228" s="125">
        <f t="shared" si="36"/>
        <v>0</v>
      </c>
      <c r="AV228" s="125">
        <f t="shared" si="36"/>
        <v>0</v>
      </c>
      <c r="AW228" s="125">
        <f t="shared" si="36"/>
        <v>0</v>
      </c>
      <c r="AX228" s="125">
        <f t="shared" si="36"/>
        <v>1217.45472</v>
      </c>
      <c r="AY228" s="125">
        <f t="shared" si="36"/>
        <v>265.98448</v>
      </c>
      <c r="AZ228" s="125">
        <f t="shared" si="36"/>
        <v>65.232</v>
      </c>
      <c r="BA228" s="125">
        <f t="shared" si="36"/>
        <v>5202.13911</v>
      </c>
      <c r="BB228" s="125">
        <f t="shared" si="36"/>
        <v>0</v>
      </c>
      <c r="BC228" s="125">
        <f t="shared" si="36"/>
        <v>6630.503290000001</v>
      </c>
      <c r="BD228" s="125">
        <f t="shared" si="36"/>
        <v>6503.24391</v>
      </c>
      <c r="BE228" s="125">
        <f t="shared" si="36"/>
        <v>295.62</v>
      </c>
      <c r="BF228" s="125">
        <f t="shared" si="36"/>
        <v>0</v>
      </c>
      <c r="BG228" s="125">
        <f t="shared" si="36"/>
        <v>0</v>
      </c>
      <c r="BH228" s="125">
        <f t="shared" si="36"/>
        <v>0</v>
      </c>
      <c r="BI228" s="125">
        <f t="shared" si="36"/>
        <v>0</v>
      </c>
      <c r="BJ228" s="125">
        <f t="shared" si="36"/>
        <v>3695.4431099999997</v>
      </c>
      <c r="BK228" s="125"/>
      <c r="BL228" s="125">
        <f aca="true" t="shared" si="37" ref="BL228:BU228">SUBTOTAL(9,BL209:BL227)</f>
        <v>0</v>
      </c>
      <c r="BM228" s="125">
        <f t="shared" si="37"/>
        <v>462.91407000000004</v>
      </c>
      <c r="BN228" s="125">
        <f t="shared" si="37"/>
        <v>0</v>
      </c>
      <c r="BO228" s="125">
        <f t="shared" si="37"/>
        <v>0</v>
      </c>
      <c r="BP228" s="125">
        <f t="shared" si="37"/>
        <v>0</v>
      </c>
      <c r="BQ228" s="125">
        <f t="shared" si="37"/>
        <v>225</v>
      </c>
      <c r="BR228" s="125">
        <f t="shared" si="37"/>
        <v>0</v>
      </c>
      <c r="BS228" s="125">
        <f t="shared" si="37"/>
        <v>1500</v>
      </c>
      <c r="BT228" s="125">
        <f t="shared" si="37"/>
        <v>0</v>
      </c>
      <c r="BU228" s="125">
        <f t="shared" si="37"/>
        <v>0</v>
      </c>
    </row>
    <row r="229" spans="1:73" ht="33.75" customHeight="1" outlineLevel="2">
      <c r="A229" s="24" t="s">
        <v>65</v>
      </c>
      <c r="B229" s="19" t="s">
        <v>359</v>
      </c>
      <c r="C229" s="20" t="s">
        <v>1496</v>
      </c>
      <c r="D229" s="218" t="s">
        <v>1457</v>
      </c>
      <c r="E229" s="203" t="s">
        <v>2059</v>
      </c>
      <c r="F229" s="108">
        <f t="shared" si="23"/>
        <v>392.88685999999996</v>
      </c>
      <c r="G229" s="106">
        <f>I229+K229+O229+S229+U229+W229+Y229+AA229+AC229+AE229+AR229+AX229+BC229+BG229+BP229+BR229+BT229+AO229</f>
        <v>221.14490999999998</v>
      </c>
      <c r="H229" s="106">
        <f>J229+L229+M229+N229+P229+Q229+R229+T229+V229+X229+Z229+AB229+AD229+AF229+AG229+AJ229+AL229+AS229+AT229+AU229+AV229+AW229+AY229+AZ229+BA229+BB229+BD229+BE229+BF229+BH229+BI229+BJ229+BL229+BM229+BN229+BO229+BQ229+BS229+BU229+AH229+AI229+AK229+AM229+AN229+AP229+AQ229+BK229</f>
        <v>171.74195</v>
      </c>
      <c r="I229" s="107"/>
      <c r="J229" s="107"/>
      <c r="K229" s="107"/>
      <c r="L229" s="107"/>
      <c r="M229" s="107"/>
      <c r="N229" s="107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7"/>
      <c r="Z229" s="107"/>
      <c r="AA229" s="159">
        <v>126.807</v>
      </c>
      <c r="AB229" s="106">
        <v>79.22924</v>
      </c>
      <c r="AC229" s="107"/>
      <c r="AD229" s="107"/>
      <c r="AE229" s="107"/>
      <c r="AF229" s="107"/>
      <c r="AG229" s="107"/>
      <c r="AH229" s="107"/>
      <c r="AI229" s="107"/>
      <c r="AJ229" s="108">
        <v>0</v>
      </c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6"/>
      <c r="AZ229" s="107"/>
      <c r="BA229" s="107"/>
      <c r="BB229" s="107"/>
      <c r="BC229" s="107">
        <v>94.33791</v>
      </c>
      <c r="BD229" s="107">
        <v>92.51271</v>
      </c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9"/>
      <c r="BR229" s="109"/>
      <c r="BS229" s="109"/>
      <c r="BT229" s="109"/>
      <c r="BU229" s="138"/>
    </row>
    <row r="230" spans="1:73" ht="38.25" customHeight="1" outlineLevel="2">
      <c r="A230" s="34" t="s">
        <v>65</v>
      </c>
      <c r="B230" s="50" t="s">
        <v>978</v>
      </c>
      <c r="C230" s="4" t="s">
        <v>587</v>
      </c>
      <c r="D230" s="230" t="s">
        <v>731</v>
      </c>
      <c r="E230" s="233" t="s">
        <v>2053</v>
      </c>
      <c r="F230" s="108">
        <f t="shared" si="23"/>
        <v>137.20429000000001</v>
      </c>
      <c r="G230" s="106">
        <f aca="true" t="shared" si="38" ref="G230:G236">I230+K230+O230+S230+U230+W230+Y230+AA230+AC230+AE230+AR230+AX230+BC230+BG230+BP230+BR230+BT230+AO230</f>
        <v>69.27383</v>
      </c>
      <c r="H230" s="106">
        <f aca="true" t="shared" si="39" ref="H230:H236">J230+L230+M230+N230+P230+Q230+R230+T230+V230+X230+Z230+AB230+AD230+AF230+AG230+AJ230+AL230+AS230+AT230+AU230+AV230+AW230+AY230+AZ230+BA230+BB230+BD230+BE230+BF230+BH230+BI230+BJ230+BL230+BM230+BN230+BO230+BQ230+BS230+BU230+AH230+AI230+AK230+AM230+AN230+AP230+AQ230+BK230</f>
        <v>67.93046</v>
      </c>
      <c r="I230" s="119"/>
      <c r="J230" s="119"/>
      <c r="K230" s="119"/>
      <c r="L230" s="119"/>
      <c r="M230" s="119"/>
      <c r="N230" s="119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19"/>
      <c r="Z230" s="119"/>
      <c r="AA230" s="163"/>
      <c r="AB230" s="120"/>
      <c r="AC230" s="119"/>
      <c r="AD230" s="119"/>
      <c r="AE230" s="119"/>
      <c r="AF230" s="119"/>
      <c r="AG230" s="119"/>
      <c r="AH230" s="119"/>
      <c r="AI230" s="119"/>
      <c r="AJ230" s="108">
        <v>0</v>
      </c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20"/>
      <c r="AZ230" s="119"/>
      <c r="BA230" s="119"/>
      <c r="BB230" s="119"/>
      <c r="BC230" s="119">
        <v>69.27383</v>
      </c>
      <c r="BD230" s="119">
        <v>67.93046</v>
      </c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21"/>
      <c r="BR230" s="121"/>
      <c r="BS230" s="121"/>
      <c r="BT230" s="121"/>
      <c r="BU230" s="140"/>
    </row>
    <row r="231" spans="1:73" ht="38.25" customHeight="1" outlineLevel="2">
      <c r="A231" s="24" t="s">
        <v>65</v>
      </c>
      <c r="B231" s="22" t="s">
        <v>227</v>
      </c>
      <c r="C231" s="20" t="s">
        <v>587</v>
      </c>
      <c r="D231" s="209" t="s">
        <v>413</v>
      </c>
      <c r="E231" s="210" t="s">
        <v>2054</v>
      </c>
      <c r="F231" s="108">
        <f t="shared" si="23"/>
        <v>84.10310000000001</v>
      </c>
      <c r="G231" s="106">
        <f t="shared" si="38"/>
        <v>48.67699</v>
      </c>
      <c r="H231" s="106">
        <f t="shared" si="39"/>
        <v>35.42611</v>
      </c>
      <c r="I231" s="107"/>
      <c r="J231" s="107"/>
      <c r="K231" s="107"/>
      <c r="L231" s="107"/>
      <c r="M231" s="107"/>
      <c r="N231" s="107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7"/>
      <c r="Z231" s="107"/>
      <c r="AA231" s="106">
        <v>27.69989</v>
      </c>
      <c r="AB231" s="106">
        <v>14.85548</v>
      </c>
      <c r="AC231" s="107"/>
      <c r="AD231" s="107"/>
      <c r="AE231" s="107"/>
      <c r="AF231" s="107"/>
      <c r="AG231" s="107"/>
      <c r="AH231" s="107"/>
      <c r="AI231" s="107"/>
      <c r="AJ231" s="108">
        <v>0</v>
      </c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6"/>
      <c r="AZ231" s="107"/>
      <c r="BA231" s="107"/>
      <c r="BB231" s="107"/>
      <c r="BC231" s="107">
        <v>20.9771</v>
      </c>
      <c r="BD231" s="107">
        <v>20.57063</v>
      </c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9"/>
      <c r="BR231" s="109"/>
      <c r="BS231" s="109"/>
      <c r="BT231" s="109"/>
      <c r="BU231" s="138"/>
    </row>
    <row r="232" spans="1:73" ht="38.25" customHeight="1" outlineLevel="2">
      <c r="A232" s="24" t="s">
        <v>65</v>
      </c>
      <c r="B232" s="22" t="s">
        <v>226</v>
      </c>
      <c r="C232" s="20" t="s">
        <v>587</v>
      </c>
      <c r="D232" s="209" t="s">
        <v>412</v>
      </c>
      <c r="E232" s="210" t="s">
        <v>2055</v>
      </c>
      <c r="F232" s="108">
        <f t="shared" si="23"/>
        <v>89.71915</v>
      </c>
      <c r="G232" s="106">
        <f t="shared" si="38"/>
        <v>51.51211</v>
      </c>
      <c r="H232" s="106">
        <f t="shared" si="39"/>
        <v>38.20704</v>
      </c>
      <c r="I232" s="107"/>
      <c r="J232" s="107"/>
      <c r="K232" s="107"/>
      <c r="L232" s="107"/>
      <c r="M232" s="107"/>
      <c r="N232" s="107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7"/>
      <c r="Z232" s="107"/>
      <c r="AA232" s="106">
        <v>27.69989</v>
      </c>
      <c r="AB232" s="106">
        <v>14.85548</v>
      </c>
      <c r="AC232" s="107"/>
      <c r="AD232" s="107"/>
      <c r="AE232" s="107"/>
      <c r="AF232" s="107"/>
      <c r="AG232" s="107"/>
      <c r="AH232" s="107"/>
      <c r="AI232" s="107"/>
      <c r="AJ232" s="108">
        <v>0</v>
      </c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6"/>
      <c r="AZ232" s="107"/>
      <c r="BA232" s="107"/>
      <c r="BB232" s="107"/>
      <c r="BC232" s="107">
        <v>23.81222</v>
      </c>
      <c r="BD232" s="107">
        <v>23.35156</v>
      </c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9"/>
      <c r="BR232" s="109"/>
      <c r="BS232" s="109"/>
      <c r="BT232" s="109"/>
      <c r="BU232" s="138"/>
    </row>
    <row r="233" spans="1:73" ht="38.25" customHeight="1" outlineLevel="2">
      <c r="A233" s="24" t="s">
        <v>65</v>
      </c>
      <c r="B233" s="22" t="s">
        <v>1744</v>
      </c>
      <c r="C233" s="20" t="s">
        <v>587</v>
      </c>
      <c r="D233" s="218" t="s">
        <v>1794</v>
      </c>
      <c r="E233" s="220" t="s">
        <v>2056</v>
      </c>
      <c r="F233" s="108">
        <f t="shared" si="23"/>
        <v>146.61082</v>
      </c>
      <c r="G233" s="106">
        <f t="shared" si="38"/>
        <v>45.67711</v>
      </c>
      <c r="H233" s="106">
        <f t="shared" si="39"/>
        <v>100.93370999999999</v>
      </c>
      <c r="I233" s="107"/>
      <c r="J233" s="107"/>
      <c r="K233" s="107"/>
      <c r="L233" s="107"/>
      <c r="M233" s="107"/>
      <c r="N233" s="107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7"/>
      <c r="Z233" s="107"/>
      <c r="AA233" s="106">
        <v>45.67711</v>
      </c>
      <c r="AB233" s="106">
        <v>27.73023</v>
      </c>
      <c r="AC233" s="107"/>
      <c r="AD233" s="107"/>
      <c r="AE233" s="107"/>
      <c r="AF233" s="107"/>
      <c r="AG233" s="107"/>
      <c r="AH233" s="107"/>
      <c r="AI233" s="107"/>
      <c r="AJ233" s="108">
        <v>0</v>
      </c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6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>
        <v>73.20348</v>
      </c>
      <c r="BN233" s="107"/>
      <c r="BO233" s="107"/>
      <c r="BP233" s="107"/>
      <c r="BQ233" s="109"/>
      <c r="BR233" s="109"/>
      <c r="BS233" s="109"/>
      <c r="BT233" s="109"/>
      <c r="BU233" s="138"/>
    </row>
    <row r="234" spans="1:73" ht="38.25" customHeight="1" outlineLevel="2">
      <c r="A234" s="24" t="s">
        <v>65</v>
      </c>
      <c r="B234" s="22" t="s">
        <v>301</v>
      </c>
      <c r="C234" s="20" t="s">
        <v>587</v>
      </c>
      <c r="D234" s="218" t="s">
        <v>1576</v>
      </c>
      <c r="E234" s="220" t="s">
        <v>2057</v>
      </c>
      <c r="F234" s="108">
        <f t="shared" si="23"/>
        <v>51.409440000000004</v>
      </c>
      <c r="G234" s="106">
        <f t="shared" si="38"/>
        <v>0</v>
      </c>
      <c r="H234" s="106">
        <f t="shared" si="39"/>
        <v>51.409440000000004</v>
      </c>
      <c r="I234" s="107"/>
      <c r="J234" s="107"/>
      <c r="K234" s="107"/>
      <c r="L234" s="107"/>
      <c r="M234" s="107"/>
      <c r="N234" s="107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7"/>
      <c r="Z234" s="107"/>
      <c r="AA234" s="106"/>
      <c r="AB234" s="106"/>
      <c r="AC234" s="107"/>
      <c r="AD234" s="107"/>
      <c r="AE234" s="107"/>
      <c r="AF234" s="107"/>
      <c r="AG234" s="107"/>
      <c r="AH234" s="107"/>
      <c r="AI234" s="107"/>
      <c r="AJ234" s="108">
        <v>0</v>
      </c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6">
        <v>9.85744</v>
      </c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>
        <v>41.552</v>
      </c>
      <c r="BN234" s="107"/>
      <c r="BO234" s="107"/>
      <c r="BP234" s="107"/>
      <c r="BQ234" s="109"/>
      <c r="BR234" s="109"/>
      <c r="BS234" s="109"/>
      <c r="BT234" s="109"/>
      <c r="BU234" s="138"/>
    </row>
    <row r="235" spans="1:73" ht="38.25" customHeight="1" outlineLevel="2">
      <c r="A235" s="24" t="s">
        <v>65</v>
      </c>
      <c r="B235" s="19" t="s">
        <v>422</v>
      </c>
      <c r="C235" s="20" t="s">
        <v>587</v>
      </c>
      <c r="D235" s="218" t="s">
        <v>1535</v>
      </c>
      <c r="E235" s="220" t="s">
        <v>2058</v>
      </c>
      <c r="F235" s="108">
        <f t="shared" si="23"/>
        <v>375.67399</v>
      </c>
      <c r="G235" s="106">
        <f t="shared" si="38"/>
        <v>203.91293</v>
      </c>
      <c r="H235" s="106">
        <f t="shared" si="39"/>
        <v>171.76106</v>
      </c>
      <c r="I235" s="107"/>
      <c r="J235" s="107"/>
      <c r="K235" s="107"/>
      <c r="L235" s="107"/>
      <c r="M235" s="107"/>
      <c r="N235" s="107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7"/>
      <c r="Z235" s="107"/>
      <c r="AA235" s="106">
        <v>79.25437</v>
      </c>
      <c r="AB235" s="106">
        <v>49.51827</v>
      </c>
      <c r="AC235" s="107"/>
      <c r="AD235" s="107"/>
      <c r="AE235" s="107"/>
      <c r="AF235" s="107"/>
      <c r="AG235" s="107"/>
      <c r="AH235" s="107"/>
      <c r="AI235" s="107"/>
      <c r="AJ235" s="108">
        <v>0</v>
      </c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6"/>
      <c r="AZ235" s="107"/>
      <c r="BA235" s="107"/>
      <c r="BB235" s="107"/>
      <c r="BC235" s="107">
        <v>124.65856</v>
      </c>
      <c r="BD235" s="107">
        <v>122.24279</v>
      </c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9"/>
      <c r="BR235" s="109"/>
      <c r="BS235" s="109"/>
      <c r="BT235" s="109"/>
      <c r="BU235" s="138"/>
    </row>
    <row r="236" spans="1:73" ht="24" customHeight="1" outlineLevel="2" thickBot="1">
      <c r="A236" s="24" t="s">
        <v>65</v>
      </c>
      <c r="B236" s="19" t="s">
        <v>1334</v>
      </c>
      <c r="C236" s="20" t="s">
        <v>934</v>
      </c>
      <c r="D236" s="218" t="s">
        <v>139</v>
      </c>
      <c r="E236" s="203" t="s">
        <v>2059</v>
      </c>
      <c r="F236" s="108">
        <f>G236+H236</f>
        <v>1097.59021</v>
      </c>
      <c r="G236" s="106">
        <f t="shared" si="38"/>
        <v>128.92595</v>
      </c>
      <c r="H236" s="106">
        <f t="shared" si="39"/>
        <v>968.66426</v>
      </c>
      <c r="I236" s="107"/>
      <c r="J236" s="107"/>
      <c r="K236" s="107"/>
      <c r="L236" s="107"/>
      <c r="M236" s="107"/>
      <c r="N236" s="107"/>
      <c r="O236" s="106">
        <v>128.92595</v>
      </c>
      <c r="P236" s="106">
        <v>6.25836</v>
      </c>
      <c r="Q236" s="106"/>
      <c r="R236" s="106"/>
      <c r="S236" s="106"/>
      <c r="T236" s="106"/>
      <c r="U236" s="106"/>
      <c r="V236" s="106"/>
      <c r="W236" s="106"/>
      <c r="X236" s="106"/>
      <c r="Y236" s="107"/>
      <c r="Z236" s="107"/>
      <c r="AA236" s="106"/>
      <c r="AB236" s="106"/>
      <c r="AC236" s="107"/>
      <c r="AD236" s="107"/>
      <c r="AE236" s="107"/>
      <c r="AF236" s="107"/>
      <c r="AG236" s="107"/>
      <c r="AH236" s="107"/>
      <c r="AI236" s="107"/>
      <c r="AJ236" s="108">
        <v>0</v>
      </c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6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>
        <v>185.23336</v>
      </c>
      <c r="BN236" s="107">
        <v>777.17254</v>
      </c>
      <c r="BO236" s="107"/>
      <c r="BP236" s="107"/>
      <c r="BQ236" s="109"/>
      <c r="BR236" s="109"/>
      <c r="BS236" s="109"/>
      <c r="BT236" s="109"/>
      <c r="BU236" s="138"/>
    </row>
    <row r="237" spans="1:73" s="32" customFormat="1" ht="21" outlineLevel="1" thickBot="1">
      <c r="A237" s="43" t="s">
        <v>779</v>
      </c>
      <c r="B237" s="44"/>
      <c r="C237" s="30" t="s">
        <v>1572</v>
      </c>
      <c r="D237" s="222"/>
      <c r="E237" s="223"/>
      <c r="F237" s="116">
        <f aca="true" t="shared" si="40" ref="F237:AL237">SUBTOTAL(9,F229:F236)</f>
        <v>2375.19786</v>
      </c>
      <c r="G237" s="116">
        <f t="shared" si="40"/>
        <v>769.12383</v>
      </c>
      <c r="H237" s="116">
        <f t="shared" si="40"/>
        <v>1606.07403</v>
      </c>
      <c r="I237" s="116">
        <f t="shared" si="40"/>
        <v>0</v>
      </c>
      <c r="J237" s="116">
        <f t="shared" si="40"/>
        <v>0</v>
      </c>
      <c r="K237" s="116">
        <f t="shared" si="40"/>
        <v>0</v>
      </c>
      <c r="L237" s="116">
        <f t="shared" si="40"/>
        <v>0</v>
      </c>
      <c r="M237" s="116">
        <f t="shared" si="40"/>
        <v>0</v>
      </c>
      <c r="N237" s="116">
        <f t="shared" si="40"/>
        <v>0</v>
      </c>
      <c r="O237" s="116">
        <f t="shared" si="40"/>
        <v>128.92595</v>
      </c>
      <c r="P237" s="116">
        <f t="shared" si="40"/>
        <v>6.25836</v>
      </c>
      <c r="Q237" s="116">
        <f t="shared" si="40"/>
        <v>0</v>
      </c>
      <c r="R237" s="116">
        <f t="shared" si="40"/>
        <v>0</v>
      </c>
      <c r="S237" s="116">
        <f t="shared" si="40"/>
        <v>0</v>
      </c>
      <c r="T237" s="116">
        <f t="shared" si="40"/>
        <v>0</v>
      </c>
      <c r="U237" s="116">
        <f t="shared" si="40"/>
        <v>0</v>
      </c>
      <c r="V237" s="116">
        <f t="shared" si="40"/>
        <v>0</v>
      </c>
      <c r="W237" s="116">
        <f t="shared" si="40"/>
        <v>0</v>
      </c>
      <c r="X237" s="116">
        <f t="shared" si="40"/>
        <v>0</v>
      </c>
      <c r="Y237" s="116">
        <f t="shared" si="40"/>
        <v>0</v>
      </c>
      <c r="Z237" s="116">
        <f t="shared" si="40"/>
        <v>0</v>
      </c>
      <c r="AA237" s="116">
        <f t="shared" si="40"/>
        <v>307.13826</v>
      </c>
      <c r="AB237" s="116">
        <f t="shared" si="40"/>
        <v>186.1887</v>
      </c>
      <c r="AC237" s="116">
        <f t="shared" si="40"/>
        <v>0</v>
      </c>
      <c r="AD237" s="116">
        <f t="shared" si="40"/>
        <v>0</v>
      </c>
      <c r="AE237" s="116">
        <f t="shared" si="40"/>
        <v>0</v>
      </c>
      <c r="AF237" s="116">
        <f t="shared" si="40"/>
        <v>0</v>
      </c>
      <c r="AG237" s="116">
        <f t="shared" si="40"/>
        <v>0</v>
      </c>
      <c r="AH237" s="116">
        <f t="shared" si="40"/>
        <v>0</v>
      </c>
      <c r="AI237" s="116">
        <f t="shared" si="40"/>
        <v>0</v>
      </c>
      <c r="AJ237" s="116">
        <f>SUBTOTAL(9,AJ229:AJ236)</f>
        <v>0</v>
      </c>
      <c r="AK237" s="116"/>
      <c r="AL237" s="116">
        <f t="shared" si="40"/>
        <v>0</v>
      </c>
      <c r="AM237" s="116">
        <f aca="true" t="shared" si="41" ref="AM237:BJ237">SUBTOTAL(9,AM229:AM236)</f>
        <v>0</v>
      </c>
      <c r="AN237" s="116">
        <f t="shared" si="41"/>
        <v>0</v>
      </c>
      <c r="AO237" s="116">
        <f t="shared" si="41"/>
        <v>0</v>
      </c>
      <c r="AP237" s="116">
        <f t="shared" si="41"/>
        <v>0</v>
      </c>
      <c r="AQ237" s="116">
        <f t="shared" si="41"/>
        <v>0</v>
      </c>
      <c r="AR237" s="116">
        <f t="shared" si="41"/>
        <v>0</v>
      </c>
      <c r="AS237" s="116">
        <f t="shared" si="41"/>
        <v>0</v>
      </c>
      <c r="AT237" s="116">
        <f t="shared" si="41"/>
        <v>0</v>
      </c>
      <c r="AU237" s="116">
        <f t="shared" si="41"/>
        <v>0</v>
      </c>
      <c r="AV237" s="116">
        <f t="shared" si="41"/>
        <v>0</v>
      </c>
      <c r="AW237" s="116">
        <f t="shared" si="41"/>
        <v>0</v>
      </c>
      <c r="AX237" s="116">
        <f t="shared" si="41"/>
        <v>0</v>
      </c>
      <c r="AY237" s="116">
        <f t="shared" si="41"/>
        <v>9.85744</v>
      </c>
      <c r="AZ237" s="116">
        <f t="shared" si="41"/>
        <v>0</v>
      </c>
      <c r="BA237" s="116">
        <f t="shared" si="41"/>
        <v>0</v>
      </c>
      <c r="BB237" s="116">
        <f t="shared" si="41"/>
        <v>0</v>
      </c>
      <c r="BC237" s="116">
        <f t="shared" si="41"/>
        <v>333.05962</v>
      </c>
      <c r="BD237" s="116">
        <f t="shared" si="41"/>
        <v>326.60815</v>
      </c>
      <c r="BE237" s="116">
        <f t="shared" si="41"/>
        <v>0</v>
      </c>
      <c r="BF237" s="116">
        <f t="shared" si="41"/>
        <v>0</v>
      </c>
      <c r="BG237" s="116">
        <f t="shared" si="41"/>
        <v>0</v>
      </c>
      <c r="BH237" s="116">
        <f t="shared" si="41"/>
        <v>0</v>
      </c>
      <c r="BI237" s="116">
        <f t="shared" si="41"/>
        <v>0</v>
      </c>
      <c r="BJ237" s="116">
        <f t="shared" si="41"/>
        <v>0</v>
      </c>
      <c r="BK237" s="116"/>
      <c r="BL237" s="116">
        <f aca="true" t="shared" si="42" ref="BL237:BU237">SUBTOTAL(9,BL229:BL236)</f>
        <v>0</v>
      </c>
      <c r="BM237" s="116">
        <f t="shared" si="42"/>
        <v>299.98884</v>
      </c>
      <c r="BN237" s="116">
        <f t="shared" si="42"/>
        <v>777.17254</v>
      </c>
      <c r="BO237" s="116">
        <f t="shared" si="42"/>
        <v>0</v>
      </c>
      <c r="BP237" s="116">
        <f t="shared" si="42"/>
        <v>0</v>
      </c>
      <c r="BQ237" s="116">
        <f t="shared" si="42"/>
        <v>0</v>
      </c>
      <c r="BR237" s="116">
        <f t="shared" si="42"/>
        <v>0</v>
      </c>
      <c r="BS237" s="116">
        <f t="shared" si="42"/>
        <v>0</v>
      </c>
      <c r="BT237" s="116">
        <f t="shared" si="42"/>
        <v>0</v>
      </c>
      <c r="BU237" s="116">
        <f t="shared" si="42"/>
        <v>0</v>
      </c>
    </row>
    <row r="238" spans="1:73" ht="36" customHeight="1" outlineLevel="2">
      <c r="A238" s="35" t="s">
        <v>780</v>
      </c>
      <c r="B238" s="37" t="s">
        <v>586</v>
      </c>
      <c r="C238" s="20" t="s">
        <v>1496</v>
      </c>
      <c r="D238" s="218" t="s">
        <v>873</v>
      </c>
      <c r="E238" s="203" t="s">
        <v>2099</v>
      </c>
      <c r="F238" s="108">
        <f aca="true" t="shared" si="43" ref="F238:F297">G238+H238</f>
        <v>4330.065619999999</v>
      </c>
      <c r="G238" s="106">
        <f>I238+K238+O238+S238+U238+W238+Y238+AA238+AC238+AE238+AR238+AX238+BC238+BG238+BP238+BR238+BT238+AO238</f>
        <v>1472.03746</v>
      </c>
      <c r="H238" s="106">
        <f>J238+L238+M238+N238+P238+Q238+R238+T238+V238+X238+Z238+AB238+AD238+AF238+AG238+AJ238+AL238+AS238+AT238+AU238+AV238+AW238+AY238+AZ238+BA238+BB238+BD238+BE238+BF238+BH238+BI238+BJ238+BL238+BM238+BN238+BO238+BQ238+BS238+BU238+AH238+AI238+AK238+AM238+AN238+AP238+AQ238+BK238</f>
        <v>2858.02816</v>
      </c>
      <c r="I238" s="107"/>
      <c r="J238" s="107"/>
      <c r="K238" s="107"/>
      <c r="L238" s="107"/>
      <c r="M238" s="107"/>
      <c r="N238" s="107"/>
      <c r="O238" s="106"/>
      <c r="P238" s="106"/>
      <c r="Q238" s="106">
        <v>20.08554</v>
      </c>
      <c r="R238" s="106"/>
      <c r="S238" s="106"/>
      <c r="T238" s="106"/>
      <c r="U238" s="106"/>
      <c r="V238" s="106"/>
      <c r="W238" s="106"/>
      <c r="X238" s="106"/>
      <c r="Y238" s="107">
        <v>30.4</v>
      </c>
      <c r="Z238" s="107">
        <v>79.86</v>
      </c>
      <c r="AA238" s="159">
        <v>799.73739</v>
      </c>
      <c r="AB238" s="106">
        <v>495.18273</v>
      </c>
      <c r="AC238" s="107"/>
      <c r="AD238" s="107"/>
      <c r="AE238" s="107"/>
      <c r="AF238" s="107"/>
      <c r="AG238" s="107"/>
      <c r="AH238" s="107"/>
      <c r="AI238" s="107"/>
      <c r="AJ238" s="108">
        <v>245.64875999999998</v>
      </c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6"/>
      <c r="AZ238" s="107"/>
      <c r="BA238" s="107">
        <v>405.7746</v>
      </c>
      <c r="BB238" s="107"/>
      <c r="BC238" s="107">
        <v>641.90007</v>
      </c>
      <c r="BD238" s="107">
        <v>629.47653</v>
      </c>
      <c r="BE238" s="107">
        <v>982</v>
      </c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9"/>
      <c r="BR238" s="109"/>
      <c r="BS238" s="109"/>
      <c r="BT238" s="109"/>
      <c r="BU238" s="138"/>
    </row>
    <row r="239" spans="1:73" ht="38.25" customHeight="1" outlineLevel="2">
      <c r="A239" s="35" t="s">
        <v>780</v>
      </c>
      <c r="B239" s="37" t="s">
        <v>494</v>
      </c>
      <c r="C239" s="20" t="s">
        <v>1496</v>
      </c>
      <c r="D239" s="218" t="s">
        <v>708</v>
      </c>
      <c r="E239" s="203" t="s">
        <v>2100</v>
      </c>
      <c r="F239" s="108">
        <f t="shared" si="43"/>
        <v>1055.23325</v>
      </c>
      <c r="G239" s="106">
        <f aca="true" t="shared" si="44" ref="G239:G281">I239+K239+O239+S239+U239+W239+Y239+AA239+AC239+AE239+AR239+AX239+BC239+BG239+BP239+BR239+BT239+AO239</f>
        <v>604.1490699999999</v>
      </c>
      <c r="H239" s="106">
        <f aca="true" t="shared" si="45" ref="H239:H281">J239+L239+M239+N239+P239+Q239+R239+T239+V239+X239+Z239+AB239+AD239+AF239+AG239+AJ239+AL239+AS239+AT239+AU239+AV239+AW239+AY239+AZ239+BA239+BB239+BD239+BE239+BF239+BH239+BI239+BJ239+BL239+BM239+BN239+BO239+BQ239+BS239+BU239+AH239+AI239+AK239+AM239+AN239+AP239+AQ239+BK239</f>
        <v>451.08418</v>
      </c>
      <c r="I239" s="107"/>
      <c r="J239" s="107"/>
      <c r="K239" s="107">
        <v>237.74983</v>
      </c>
      <c r="L239" s="107">
        <v>32.59228</v>
      </c>
      <c r="M239" s="107"/>
      <c r="N239" s="107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7">
        <v>8.41783</v>
      </c>
      <c r="Z239" s="107">
        <v>39.93</v>
      </c>
      <c r="AA239" s="159">
        <v>132.78479</v>
      </c>
      <c r="AB239" s="106">
        <v>83.1907</v>
      </c>
      <c r="AC239" s="107"/>
      <c r="AD239" s="107"/>
      <c r="AE239" s="107"/>
      <c r="AF239" s="107"/>
      <c r="AG239" s="107"/>
      <c r="AH239" s="107"/>
      <c r="AI239" s="107"/>
      <c r="AJ239" s="108">
        <v>74.53407999999999</v>
      </c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6"/>
      <c r="AZ239" s="107"/>
      <c r="BA239" s="107"/>
      <c r="BB239" s="107"/>
      <c r="BC239" s="107">
        <v>225.19662</v>
      </c>
      <c r="BD239" s="107">
        <v>220.83712</v>
      </c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9"/>
      <c r="BR239" s="109"/>
      <c r="BS239" s="109"/>
      <c r="BT239" s="109"/>
      <c r="BU239" s="138"/>
    </row>
    <row r="240" spans="1:73" ht="38.25" customHeight="1" outlineLevel="2">
      <c r="A240" s="35" t="s">
        <v>780</v>
      </c>
      <c r="B240" s="37" t="s">
        <v>1300</v>
      </c>
      <c r="C240" s="20" t="s">
        <v>1496</v>
      </c>
      <c r="D240" s="218" t="s">
        <v>1502</v>
      </c>
      <c r="E240" s="203" t="s">
        <v>2098</v>
      </c>
      <c r="F240" s="108">
        <f t="shared" si="43"/>
        <v>3679.82945</v>
      </c>
      <c r="G240" s="106">
        <f t="shared" si="44"/>
        <v>537.33734</v>
      </c>
      <c r="H240" s="106">
        <f t="shared" si="45"/>
        <v>3142.49211</v>
      </c>
      <c r="I240" s="107"/>
      <c r="J240" s="107"/>
      <c r="K240" s="107"/>
      <c r="L240" s="107"/>
      <c r="M240" s="107"/>
      <c r="N240" s="107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7">
        <v>15.2</v>
      </c>
      <c r="Z240" s="107">
        <v>39.93</v>
      </c>
      <c r="AA240" s="159">
        <v>227.75066</v>
      </c>
      <c r="AB240" s="106">
        <v>134.09548</v>
      </c>
      <c r="AC240" s="107"/>
      <c r="AD240" s="107"/>
      <c r="AE240" s="107"/>
      <c r="AF240" s="107"/>
      <c r="AG240" s="107"/>
      <c r="AH240" s="107"/>
      <c r="AI240" s="107"/>
      <c r="AJ240" s="108">
        <v>113.05207999999999</v>
      </c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6"/>
      <c r="AZ240" s="107"/>
      <c r="BA240" s="107"/>
      <c r="BB240" s="107"/>
      <c r="BC240" s="107">
        <v>294.38668</v>
      </c>
      <c r="BD240" s="107">
        <v>288.69364</v>
      </c>
      <c r="BE240" s="107">
        <v>607.75</v>
      </c>
      <c r="BF240" s="107"/>
      <c r="BG240" s="107"/>
      <c r="BH240" s="107"/>
      <c r="BI240" s="107"/>
      <c r="BJ240" s="107">
        <v>1741.15468</v>
      </c>
      <c r="BK240" s="107"/>
      <c r="BL240" s="107"/>
      <c r="BM240" s="107">
        <v>217.81623</v>
      </c>
      <c r="BN240" s="107"/>
      <c r="BO240" s="107"/>
      <c r="BP240" s="107"/>
      <c r="BQ240" s="109"/>
      <c r="BR240" s="109"/>
      <c r="BS240" s="109"/>
      <c r="BT240" s="109"/>
      <c r="BU240" s="138"/>
    </row>
    <row r="241" spans="1:73" ht="33.75" customHeight="1" outlineLevel="2">
      <c r="A241" s="35" t="s">
        <v>780</v>
      </c>
      <c r="B241" s="37" t="s">
        <v>228</v>
      </c>
      <c r="C241" s="20" t="s">
        <v>1496</v>
      </c>
      <c r="D241" s="239">
        <v>2410003714</v>
      </c>
      <c r="E241" s="203" t="s">
        <v>2101</v>
      </c>
      <c r="F241" s="108">
        <f t="shared" si="43"/>
        <v>1168.04512</v>
      </c>
      <c r="G241" s="106">
        <f t="shared" si="44"/>
        <v>570.46443</v>
      </c>
      <c r="H241" s="106">
        <f t="shared" si="45"/>
        <v>597.58069</v>
      </c>
      <c r="I241" s="107"/>
      <c r="J241" s="107"/>
      <c r="K241" s="107"/>
      <c r="L241" s="107"/>
      <c r="M241" s="107"/>
      <c r="N241" s="107"/>
      <c r="O241" s="106"/>
      <c r="P241" s="106"/>
      <c r="Q241" s="106">
        <v>111.61685</v>
      </c>
      <c r="R241" s="106"/>
      <c r="S241" s="106"/>
      <c r="T241" s="106"/>
      <c r="U241" s="106"/>
      <c r="V241" s="106"/>
      <c r="W241" s="106"/>
      <c r="X241" s="106"/>
      <c r="Y241" s="107"/>
      <c r="Z241" s="107"/>
      <c r="AA241" s="159">
        <v>250.11341</v>
      </c>
      <c r="AB241" s="106">
        <v>148.55482</v>
      </c>
      <c r="AC241" s="107"/>
      <c r="AD241" s="107"/>
      <c r="AE241" s="107"/>
      <c r="AF241" s="107"/>
      <c r="AG241" s="107"/>
      <c r="AH241" s="107"/>
      <c r="AI241" s="107"/>
      <c r="AJ241" s="108">
        <v>0</v>
      </c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6"/>
      <c r="AZ241" s="107"/>
      <c r="BA241" s="107">
        <v>23.2638</v>
      </c>
      <c r="BB241" s="107"/>
      <c r="BC241" s="107">
        <v>320.35102</v>
      </c>
      <c r="BD241" s="107">
        <v>314.14522</v>
      </c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9"/>
      <c r="BR241" s="109"/>
      <c r="BS241" s="109"/>
      <c r="BT241" s="109"/>
      <c r="BU241" s="138"/>
    </row>
    <row r="242" spans="1:73" ht="38.25" customHeight="1" outlineLevel="2">
      <c r="A242" s="35" t="s">
        <v>780</v>
      </c>
      <c r="B242" s="37" t="s">
        <v>1440</v>
      </c>
      <c r="C242" s="20" t="s">
        <v>1496</v>
      </c>
      <c r="D242" s="218" t="s">
        <v>143</v>
      </c>
      <c r="E242" s="203" t="s">
        <v>2102</v>
      </c>
      <c r="F242" s="108">
        <f t="shared" si="43"/>
        <v>4485.64387</v>
      </c>
      <c r="G242" s="106">
        <f t="shared" si="44"/>
        <v>1899.59769</v>
      </c>
      <c r="H242" s="106">
        <f t="shared" si="45"/>
        <v>2586.0461800000003</v>
      </c>
      <c r="I242" s="107"/>
      <c r="J242" s="107"/>
      <c r="K242" s="107"/>
      <c r="L242" s="107"/>
      <c r="M242" s="107"/>
      <c r="N242" s="107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7">
        <v>32.82955</v>
      </c>
      <c r="Z242" s="107">
        <v>155.727</v>
      </c>
      <c r="AA242" s="159">
        <v>754.37145</v>
      </c>
      <c r="AB242" s="106">
        <v>455.56811</v>
      </c>
      <c r="AC242" s="107"/>
      <c r="AD242" s="107"/>
      <c r="AE242" s="107"/>
      <c r="AF242" s="107"/>
      <c r="AG242" s="107"/>
      <c r="AH242" s="107"/>
      <c r="AI242" s="107"/>
      <c r="AJ242" s="108">
        <v>445.9312</v>
      </c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6"/>
      <c r="AZ242" s="107"/>
      <c r="BA242" s="107">
        <v>265.8612</v>
      </c>
      <c r="BB242" s="107"/>
      <c r="BC242" s="107">
        <v>1112.39669</v>
      </c>
      <c r="BD242" s="107">
        <v>1090.87539</v>
      </c>
      <c r="BE242" s="107">
        <v>117.81928</v>
      </c>
      <c r="BF242" s="107"/>
      <c r="BG242" s="107"/>
      <c r="BH242" s="107"/>
      <c r="BI242" s="107"/>
      <c r="BJ242" s="107"/>
      <c r="BK242" s="107"/>
      <c r="BL242" s="107"/>
      <c r="BM242" s="107">
        <v>54.264</v>
      </c>
      <c r="BN242" s="107"/>
      <c r="BO242" s="107"/>
      <c r="BP242" s="107"/>
      <c r="BQ242" s="109"/>
      <c r="BR242" s="109"/>
      <c r="BS242" s="109"/>
      <c r="BT242" s="109"/>
      <c r="BU242" s="138"/>
    </row>
    <row r="243" spans="1:73" ht="34.5" customHeight="1" outlineLevel="2">
      <c r="A243" s="35" t="s">
        <v>780</v>
      </c>
      <c r="B243" s="37" t="s">
        <v>261</v>
      </c>
      <c r="C243" s="20" t="s">
        <v>1496</v>
      </c>
      <c r="D243" s="239">
        <v>2410002855</v>
      </c>
      <c r="E243" s="203" t="s">
        <v>2097</v>
      </c>
      <c r="F243" s="108">
        <f t="shared" si="43"/>
        <v>49.42645</v>
      </c>
      <c r="G243" s="106">
        <f t="shared" si="44"/>
        <v>28.335729999999998</v>
      </c>
      <c r="H243" s="106">
        <f t="shared" si="45"/>
        <v>21.09072</v>
      </c>
      <c r="I243" s="107"/>
      <c r="J243" s="107"/>
      <c r="K243" s="107"/>
      <c r="L243" s="107"/>
      <c r="M243" s="107"/>
      <c r="N243" s="107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7"/>
      <c r="Z243" s="107"/>
      <c r="AA243" s="159">
        <v>16.32218</v>
      </c>
      <c r="AB243" s="106">
        <v>9.30944</v>
      </c>
      <c r="AC243" s="107"/>
      <c r="AD243" s="107"/>
      <c r="AE243" s="107"/>
      <c r="AF243" s="107"/>
      <c r="AG243" s="107"/>
      <c r="AH243" s="107"/>
      <c r="AI243" s="107"/>
      <c r="AJ243" s="108">
        <v>0</v>
      </c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6"/>
      <c r="AZ243" s="107"/>
      <c r="BA243" s="107"/>
      <c r="BB243" s="107"/>
      <c r="BC243" s="107">
        <v>12.01355</v>
      </c>
      <c r="BD243" s="107">
        <v>11.78128</v>
      </c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9"/>
      <c r="BR243" s="109"/>
      <c r="BS243" s="109"/>
      <c r="BT243" s="109"/>
      <c r="BU243" s="138"/>
    </row>
    <row r="244" spans="1:73" ht="30.75" customHeight="1" outlineLevel="2">
      <c r="A244" s="35" t="s">
        <v>780</v>
      </c>
      <c r="B244" s="37" t="s">
        <v>1745</v>
      </c>
      <c r="C244" s="20" t="s">
        <v>1496</v>
      </c>
      <c r="D244" s="239">
        <v>2410003425</v>
      </c>
      <c r="E244" s="203" t="s">
        <v>2096</v>
      </c>
      <c r="F244" s="108">
        <f t="shared" si="43"/>
        <v>31.70915</v>
      </c>
      <c r="G244" s="106">
        <f t="shared" si="44"/>
        <v>19.82476</v>
      </c>
      <c r="H244" s="106">
        <f t="shared" si="45"/>
        <v>11.88439</v>
      </c>
      <c r="I244" s="107"/>
      <c r="J244" s="107"/>
      <c r="K244" s="107"/>
      <c r="L244" s="107"/>
      <c r="M244" s="107"/>
      <c r="N244" s="107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7"/>
      <c r="Z244" s="107"/>
      <c r="AA244" s="159">
        <v>19.82476</v>
      </c>
      <c r="AB244" s="106">
        <v>11.88439</v>
      </c>
      <c r="AC244" s="107"/>
      <c r="AD244" s="107"/>
      <c r="AE244" s="107"/>
      <c r="AF244" s="107"/>
      <c r="AG244" s="107"/>
      <c r="AH244" s="107"/>
      <c r="AI244" s="107"/>
      <c r="AJ244" s="108">
        <v>0</v>
      </c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6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9"/>
      <c r="BR244" s="109"/>
      <c r="BS244" s="109"/>
      <c r="BT244" s="109"/>
      <c r="BU244" s="138"/>
    </row>
    <row r="245" spans="1:73" ht="32.25" customHeight="1" outlineLevel="2">
      <c r="A245" s="35" t="s">
        <v>780</v>
      </c>
      <c r="B245" s="37" t="s">
        <v>874</v>
      </c>
      <c r="C245" s="20" t="s">
        <v>1496</v>
      </c>
      <c r="D245" s="218" t="s">
        <v>875</v>
      </c>
      <c r="E245" s="203" t="s">
        <v>2095</v>
      </c>
      <c r="F245" s="108">
        <f t="shared" si="43"/>
        <v>1206.83974</v>
      </c>
      <c r="G245" s="106">
        <f t="shared" si="44"/>
        <v>537.24392</v>
      </c>
      <c r="H245" s="106">
        <f t="shared" si="45"/>
        <v>669.5958199999999</v>
      </c>
      <c r="I245" s="107"/>
      <c r="J245" s="107"/>
      <c r="K245" s="107"/>
      <c r="L245" s="107"/>
      <c r="M245" s="107"/>
      <c r="N245" s="107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7">
        <v>7.15516</v>
      </c>
      <c r="Z245" s="107">
        <v>33.9405</v>
      </c>
      <c r="AA245" s="159">
        <v>260.46038</v>
      </c>
      <c r="AB245" s="106">
        <v>148.55482</v>
      </c>
      <c r="AC245" s="107"/>
      <c r="AD245" s="107"/>
      <c r="AE245" s="107"/>
      <c r="AF245" s="107"/>
      <c r="AG245" s="107"/>
      <c r="AH245" s="107"/>
      <c r="AI245" s="107"/>
      <c r="AJ245" s="108">
        <v>94.59407999999999</v>
      </c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6"/>
      <c r="AZ245" s="107"/>
      <c r="BA245" s="107"/>
      <c r="BB245" s="107"/>
      <c r="BC245" s="107">
        <v>269.62838</v>
      </c>
      <c r="BD245" s="107">
        <v>264.41299</v>
      </c>
      <c r="BE245" s="107"/>
      <c r="BF245" s="107"/>
      <c r="BG245" s="107"/>
      <c r="BH245" s="107"/>
      <c r="BI245" s="107"/>
      <c r="BJ245" s="107">
        <v>128.09343</v>
      </c>
      <c r="BK245" s="107"/>
      <c r="BL245" s="107"/>
      <c r="BM245" s="107"/>
      <c r="BN245" s="107"/>
      <c r="BO245" s="107"/>
      <c r="BP245" s="107"/>
      <c r="BQ245" s="109"/>
      <c r="BR245" s="109"/>
      <c r="BS245" s="109"/>
      <c r="BT245" s="109"/>
      <c r="BU245" s="138"/>
    </row>
    <row r="246" spans="1:73" ht="33.75" customHeight="1" outlineLevel="2">
      <c r="A246" s="35" t="s">
        <v>780</v>
      </c>
      <c r="B246" s="37" t="s">
        <v>125</v>
      </c>
      <c r="C246" s="20" t="s">
        <v>1496</v>
      </c>
      <c r="D246" s="239">
        <v>2410001731</v>
      </c>
      <c r="E246" s="203" t="s">
        <v>2093</v>
      </c>
      <c r="F246" s="108">
        <f t="shared" si="43"/>
        <v>1371.73881</v>
      </c>
      <c r="G246" s="106">
        <f t="shared" si="44"/>
        <v>749.81193</v>
      </c>
      <c r="H246" s="106">
        <f t="shared" si="45"/>
        <v>621.9268800000001</v>
      </c>
      <c r="I246" s="107"/>
      <c r="J246" s="107"/>
      <c r="K246" s="107">
        <v>119.42501</v>
      </c>
      <c r="L246" s="107">
        <v>39.83468</v>
      </c>
      <c r="M246" s="107"/>
      <c r="N246" s="107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7"/>
      <c r="Z246" s="107"/>
      <c r="AA246" s="159">
        <v>290.2505</v>
      </c>
      <c r="AB246" s="106">
        <v>178.26578</v>
      </c>
      <c r="AC246" s="107"/>
      <c r="AD246" s="107"/>
      <c r="AE246" s="107"/>
      <c r="AF246" s="107"/>
      <c r="AG246" s="107"/>
      <c r="AH246" s="107"/>
      <c r="AI246" s="107"/>
      <c r="AJ246" s="108">
        <v>0</v>
      </c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6"/>
      <c r="AZ246" s="107"/>
      <c r="BA246" s="107"/>
      <c r="BB246" s="107"/>
      <c r="BC246" s="107">
        <v>340.13642</v>
      </c>
      <c r="BD246" s="107">
        <v>333.55352</v>
      </c>
      <c r="BE246" s="107"/>
      <c r="BF246" s="107"/>
      <c r="BG246" s="107"/>
      <c r="BH246" s="107"/>
      <c r="BI246" s="107"/>
      <c r="BJ246" s="107">
        <v>70.2729</v>
      </c>
      <c r="BK246" s="107"/>
      <c r="BL246" s="107"/>
      <c r="BM246" s="107"/>
      <c r="BN246" s="107"/>
      <c r="BO246" s="107"/>
      <c r="BP246" s="107"/>
      <c r="BQ246" s="109"/>
      <c r="BR246" s="109"/>
      <c r="BS246" s="109"/>
      <c r="BT246" s="109"/>
      <c r="BU246" s="138"/>
    </row>
    <row r="247" spans="1:73" ht="38.25" customHeight="1" outlineLevel="2">
      <c r="A247" s="35" t="s">
        <v>780</v>
      </c>
      <c r="B247" s="37" t="s">
        <v>344</v>
      </c>
      <c r="C247" s="20" t="s">
        <v>1496</v>
      </c>
      <c r="D247" s="218" t="s">
        <v>493</v>
      </c>
      <c r="E247" s="203" t="s">
        <v>2092</v>
      </c>
      <c r="F247" s="108">
        <f t="shared" si="43"/>
        <v>4108.701059999999</v>
      </c>
      <c r="G247" s="106">
        <f t="shared" si="44"/>
        <v>1854.6405</v>
      </c>
      <c r="H247" s="106">
        <f t="shared" si="45"/>
        <v>2254.06056</v>
      </c>
      <c r="I247" s="107"/>
      <c r="J247" s="107"/>
      <c r="K247" s="107">
        <v>421.92564</v>
      </c>
      <c r="L247" s="107">
        <v>14.0351</v>
      </c>
      <c r="M247" s="107"/>
      <c r="N247" s="107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7">
        <v>70.10373</v>
      </c>
      <c r="Z247" s="107">
        <v>332.53704</v>
      </c>
      <c r="AA247" s="159">
        <v>606.17316</v>
      </c>
      <c r="AB247" s="106">
        <v>356.53156</v>
      </c>
      <c r="AC247" s="107"/>
      <c r="AD247" s="107"/>
      <c r="AE247" s="107"/>
      <c r="AF247" s="107"/>
      <c r="AG247" s="107"/>
      <c r="AH247" s="107"/>
      <c r="AI247" s="107"/>
      <c r="AJ247" s="108">
        <v>275.73875999999996</v>
      </c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6"/>
      <c r="AZ247" s="107"/>
      <c r="BA247" s="107"/>
      <c r="BB247" s="107"/>
      <c r="BC247" s="107">
        <v>756.43797</v>
      </c>
      <c r="BD247" s="107">
        <v>741.81189</v>
      </c>
      <c r="BE247" s="107">
        <v>166.35971</v>
      </c>
      <c r="BF247" s="107"/>
      <c r="BG247" s="107"/>
      <c r="BH247" s="107"/>
      <c r="BI247" s="107"/>
      <c r="BJ247" s="107">
        <v>367.0465</v>
      </c>
      <c r="BK247" s="107"/>
      <c r="BL247" s="107"/>
      <c r="BM247" s="107"/>
      <c r="BN247" s="107"/>
      <c r="BO247" s="107"/>
      <c r="BP247" s="107"/>
      <c r="BQ247" s="109"/>
      <c r="BR247" s="109"/>
      <c r="BS247" s="109"/>
      <c r="BT247" s="109"/>
      <c r="BU247" s="138"/>
    </row>
    <row r="248" spans="1:73" ht="33.75" customHeight="1" outlineLevel="2">
      <c r="A248" s="35" t="s">
        <v>780</v>
      </c>
      <c r="B248" s="37" t="s">
        <v>144</v>
      </c>
      <c r="C248" s="20" t="s">
        <v>1496</v>
      </c>
      <c r="D248" s="218" t="s">
        <v>145</v>
      </c>
      <c r="E248" s="203" t="s">
        <v>2091</v>
      </c>
      <c r="F248" s="108">
        <f t="shared" si="43"/>
        <v>14443.54966</v>
      </c>
      <c r="G248" s="106">
        <f t="shared" si="44"/>
        <v>5931.66685</v>
      </c>
      <c r="H248" s="106">
        <f t="shared" si="45"/>
        <v>8511.882810000001</v>
      </c>
      <c r="I248" s="107"/>
      <c r="J248" s="107"/>
      <c r="K248" s="107">
        <v>972.26558</v>
      </c>
      <c r="L248" s="107">
        <v>113.85574</v>
      </c>
      <c r="M248" s="107"/>
      <c r="N248" s="107"/>
      <c r="O248" s="106"/>
      <c r="P248" s="106"/>
      <c r="Q248" s="106">
        <v>251.18833</v>
      </c>
      <c r="R248" s="106"/>
      <c r="S248" s="106"/>
      <c r="T248" s="106"/>
      <c r="U248" s="106"/>
      <c r="V248" s="106"/>
      <c r="W248" s="106"/>
      <c r="X248" s="106"/>
      <c r="Y248" s="107">
        <v>122.208</v>
      </c>
      <c r="Z248" s="107">
        <v>321.0372</v>
      </c>
      <c r="AA248" s="159">
        <v>819.63161</v>
      </c>
      <c r="AB248" s="106">
        <v>495.18273</v>
      </c>
      <c r="AC248" s="107"/>
      <c r="AD248" s="107"/>
      <c r="AE248" s="107"/>
      <c r="AF248" s="107"/>
      <c r="AG248" s="107">
        <v>58.3908</v>
      </c>
      <c r="AH248" s="107"/>
      <c r="AI248" s="107"/>
      <c r="AJ248" s="108">
        <v>513.48512</v>
      </c>
      <c r="AK248" s="107"/>
      <c r="AL248" s="107"/>
      <c r="AM248" s="107">
        <v>70.2</v>
      </c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>
        <v>1964.31086</v>
      </c>
      <c r="AY248" s="106">
        <v>756.30993</v>
      </c>
      <c r="AZ248" s="107">
        <v>1039.077</v>
      </c>
      <c r="BA248" s="107">
        <f>500+92.14415</f>
        <v>592.14415</v>
      </c>
      <c r="BB248" s="107"/>
      <c r="BC248" s="107">
        <v>2053.2508</v>
      </c>
      <c r="BD248" s="107">
        <v>2013.49572</v>
      </c>
      <c r="BE248" s="107"/>
      <c r="BF248" s="107"/>
      <c r="BG248" s="107"/>
      <c r="BH248" s="107"/>
      <c r="BI248" s="107"/>
      <c r="BJ248" s="107">
        <v>2027.91763</v>
      </c>
      <c r="BK248" s="107"/>
      <c r="BL248" s="107"/>
      <c r="BM248" s="107">
        <v>259.59846</v>
      </c>
      <c r="BN248" s="107"/>
      <c r="BO248" s="107"/>
      <c r="BP248" s="107"/>
      <c r="BQ248" s="109"/>
      <c r="BR248" s="109"/>
      <c r="BS248" s="109"/>
      <c r="BT248" s="109"/>
      <c r="BU248" s="138"/>
    </row>
    <row r="249" spans="1:73" ht="39.75" customHeight="1" outlineLevel="2">
      <c r="A249" s="35" t="s">
        <v>780</v>
      </c>
      <c r="B249" s="37" t="s">
        <v>1462</v>
      </c>
      <c r="C249" s="20" t="s">
        <v>1496</v>
      </c>
      <c r="D249" s="239">
        <v>2410003778</v>
      </c>
      <c r="E249" s="203" t="s">
        <v>2087</v>
      </c>
      <c r="F249" s="108">
        <f t="shared" si="43"/>
        <v>599.70247</v>
      </c>
      <c r="G249" s="106">
        <f t="shared" si="44"/>
        <v>277.54168</v>
      </c>
      <c r="H249" s="106">
        <f t="shared" si="45"/>
        <v>322.16079</v>
      </c>
      <c r="I249" s="107"/>
      <c r="J249" s="107"/>
      <c r="K249" s="107"/>
      <c r="L249" s="107"/>
      <c r="M249" s="107"/>
      <c r="N249" s="107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7"/>
      <c r="Z249" s="107"/>
      <c r="AA249" s="159">
        <v>168.6791</v>
      </c>
      <c r="AB249" s="106">
        <v>99.03655</v>
      </c>
      <c r="AC249" s="107"/>
      <c r="AD249" s="107"/>
      <c r="AE249" s="107"/>
      <c r="AF249" s="107"/>
      <c r="AG249" s="107"/>
      <c r="AH249" s="107"/>
      <c r="AI249" s="107"/>
      <c r="AJ249" s="108">
        <v>0</v>
      </c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6"/>
      <c r="AZ249" s="107">
        <v>116.37</v>
      </c>
      <c r="BA249" s="107"/>
      <c r="BB249" s="107"/>
      <c r="BC249" s="107">
        <v>108.86258</v>
      </c>
      <c r="BD249" s="107">
        <v>106.75424</v>
      </c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9"/>
      <c r="BR249" s="109"/>
      <c r="BS249" s="109"/>
      <c r="BT249" s="109"/>
      <c r="BU249" s="138"/>
    </row>
    <row r="250" spans="1:73" ht="32.25" customHeight="1" outlineLevel="2">
      <c r="A250" s="35" t="s">
        <v>780</v>
      </c>
      <c r="B250" s="37" t="s">
        <v>146</v>
      </c>
      <c r="C250" s="20" t="s">
        <v>1496</v>
      </c>
      <c r="D250" s="218" t="s">
        <v>147</v>
      </c>
      <c r="E250" s="203" t="s">
        <v>2089</v>
      </c>
      <c r="F250" s="108">
        <f t="shared" si="43"/>
        <v>3187.3922999999995</v>
      </c>
      <c r="G250" s="106">
        <f t="shared" si="44"/>
        <v>1710.8196899999998</v>
      </c>
      <c r="H250" s="106">
        <f t="shared" si="45"/>
        <v>1476.57261</v>
      </c>
      <c r="I250" s="107"/>
      <c r="J250" s="107"/>
      <c r="K250" s="107">
        <v>249.63903</v>
      </c>
      <c r="L250" s="107">
        <v>29.00863</v>
      </c>
      <c r="M250" s="107"/>
      <c r="N250" s="107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7"/>
      <c r="Z250" s="107"/>
      <c r="AA250" s="159">
        <v>477.86631</v>
      </c>
      <c r="AB250" s="106">
        <v>277.30233</v>
      </c>
      <c r="AC250" s="107"/>
      <c r="AD250" s="107"/>
      <c r="AE250" s="107"/>
      <c r="AF250" s="107"/>
      <c r="AG250" s="107">
        <v>107.7984</v>
      </c>
      <c r="AH250" s="107"/>
      <c r="AI250" s="107"/>
      <c r="AJ250" s="108">
        <v>0</v>
      </c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6">
        <v>98.2083</v>
      </c>
      <c r="AZ250" s="107"/>
      <c r="BA250" s="107"/>
      <c r="BB250" s="107"/>
      <c r="BC250" s="107">
        <v>983.31435</v>
      </c>
      <c r="BD250" s="107">
        <v>964.25495</v>
      </c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9"/>
      <c r="BR250" s="109"/>
      <c r="BS250" s="109"/>
      <c r="BT250" s="109"/>
      <c r="BU250" s="138"/>
    </row>
    <row r="251" spans="1:73" ht="38.25" customHeight="1" outlineLevel="2">
      <c r="A251" s="35" t="s">
        <v>780</v>
      </c>
      <c r="B251" s="37" t="s">
        <v>876</v>
      </c>
      <c r="C251" s="20" t="s">
        <v>1496</v>
      </c>
      <c r="D251" s="218" t="s">
        <v>877</v>
      </c>
      <c r="E251" s="203" t="s">
        <v>2090</v>
      </c>
      <c r="F251" s="108">
        <f t="shared" si="43"/>
        <v>3709.6960200000003</v>
      </c>
      <c r="G251" s="106">
        <f t="shared" si="44"/>
        <v>1754.6248799999998</v>
      </c>
      <c r="H251" s="106">
        <f t="shared" si="45"/>
        <v>1955.0711400000005</v>
      </c>
      <c r="I251" s="107"/>
      <c r="J251" s="107">
        <v>33.39417</v>
      </c>
      <c r="K251" s="107">
        <v>448.42336</v>
      </c>
      <c r="L251" s="107">
        <v>76.72501</v>
      </c>
      <c r="M251" s="107"/>
      <c r="N251" s="107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7">
        <v>91.2</v>
      </c>
      <c r="Z251" s="107">
        <v>294.03</v>
      </c>
      <c r="AA251" s="159">
        <v>213.42927</v>
      </c>
      <c r="AB251" s="106">
        <v>128.74751</v>
      </c>
      <c r="AC251" s="107"/>
      <c r="AD251" s="107"/>
      <c r="AE251" s="107"/>
      <c r="AF251" s="107"/>
      <c r="AG251" s="107"/>
      <c r="AH251" s="107"/>
      <c r="AI251" s="107"/>
      <c r="AJ251" s="108">
        <v>95.66952</v>
      </c>
      <c r="AK251" s="107"/>
      <c r="AL251" s="107"/>
      <c r="AM251" s="107"/>
      <c r="AN251" s="107">
        <v>2.88</v>
      </c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>
        <v>641.30178</v>
      </c>
      <c r="AY251" s="106">
        <v>267.14071</v>
      </c>
      <c r="AZ251" s="107">
        <v>71.262</v>
      </c>
      <c r="BA251" s="107">
        <f>80.4815+33.2528</f>
        <v>113.73429999999999</v>
      </c>
      <c r="BB251" s="107"/>
      <c r="BC251" s="107">
        <v>360.27047</v>
      </c>
      <c r="BD251" s="107">
        <v>353.29832</v>
      </c>
      <c r="BE251" s="107"/>
      <c r="BF251" s="107"/>
      <c r="BG251" s="107"/>
      <c r="BH251" s="107"/>
      <c r="BI251" s="107"/>
      <c r="BJ251" s="107">
        <v>518.1896</v>
      </c>
      <c r="BK251" s="107"/>
      <c r="BL251" s="107"/>
      <c r="BM251" s="107"/>
      <c r="BN251" s="107"/>
      <c r="BO251" s="107"/>
      <c r="BP251" s="107"/>
      <c r="BQ251" s="109"/>
      <c r="BR251" s="109"/>
      <c r="BS251" s="109"/>
      <c r="BT251" s="109"/>
      <c r="BU251" s="138"/>
    </row>
    <row r="252" spans="1:73" ht="41.25" customHeight="1" outlineLevel="2">
      <c r="A252" s="35" t="s">
        <v>780</v>
      </c>
      <c r="B252" s="37" t="s">
        <v>148</v>
      </c>
      <c r="C252" s="20" t="s">
        <v>1496</v>
      </c>
      <c r="D252" s="218" t="s">
        <v>554</v>
      </c>
      <c r="E252" s="203" t="s">
        <v>2094</v>
      </c>
      <c r="F252" s="108">
        <f t="shared" si="43"/>
        <v>11451.60915</v>
      </c>
      <c r="G252" s="106">
        <f t="shared" si="44"/>
        <v>3860.83414</v>
      </c>
      <c r="H252" s="106">
        <f t="shared" si="45"/>
        <v>7590.775009999999</v>
      </c>
      <c r="I252" s="107"/>
      <c r="J252" s="107"/>
      <c r="K252" s="107">
        <v>498.06797</v>
      </c>
      <c r="L252" s="107">
        <v>108.90828</v>
      </c>
      <c r="M252" s="107"/>
      <c r="N252" s="107"/>
      <c r="O252" s="106"/>
      <c r="P252" s="106"/>
      <c r="Q252" s="106"/>
      <c r="R252" s="106"/>
      <c r="S252" s="106">
        <v>143.06028</v>
      </c>
      <c r="T252" s="106">
        <v>71.53013</v>
      </c>
      <c r="U252" s="106"/>
      <c r="V252" s="106"/>
      <c r="W252" s="106"/>
      <c r="X252" s="106"/>
      <c r="Y252" s="107">
        <v>83.6</v>
      </c>
      <c r="Z252" s="107">
        <v>219.615</v>
      </c>
      <c r="AA252" s="159">
        <v>1456.40514</v>
      </c>
      <c r="AB252" s="106">
        <v>891.32891</v>
      </c>
      <c r="AC252" s="107"/>
      <c r="AD252" s="107"/>
      <c r="AE252" s="107"/>
      <c r="AF252" s="107"/>
      <c r="AG252" s="107"/>
      <c r="AH252" s="107"/>
      <c r="AI252" s="107"/>
      <c r="AJ252" s="108">
        <v>566.52252</v>
      </c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6"/>
      <c r="AZ252" s="107"/>
      <c r="BA252" s="107"/>
      <c r="BB252" s="107"/>
      <c r="BC252" s="107">
        <v>1679.70075</v>
      </c>
      <c r="BD252" s="107">
        <v>1647.2367</v>
      </c>
      <c r="BE252" s="107"/>
      <c r="BF252" s="107"/>
      <c r="BG252" s="107"/>
      <c r="BH252" s="107"/>
      <c r="BI252" s="107"/>
      <c r="BJ252" s="107">
        <v>4085.63347</v>
      </c>
      <c r="BK252" s="107"/>
      <c r="BL252" s="107"/>
      <c r="BM252" s="107"/>
      <c r="BN252" s="107"/>
      <c r="BO252" s="107"/>
      <c r="BP252" s="107"/>
      <c r="BQ252" s="109"/>
      <c r="BR252" s="109"/>
      <c r="BS252" s="109"/>
      <c r="BT252" s="109"/>
      <c r="BU252" s="138"/>
    </row>
    <row r="253" spans="1:73" ht="36.75" customHeight="1" outlineLevel="2">
      <c r="A253" s="19" t="s">
        <v>780</v>
      </c>
      <c r="B253" s="37" t="s">
        <v>1</v>
      </c>
      <c r="C253" s="20" t="s">
        <v>1496</v>
      </c>
      <c r="D253" s="239">
        <v>2410003383</v>
      </c>
      <c r="E253" s="203" t="s">
        <v>2787</v>
      </c>
      <c r="F253" s="108">
        <f t="shared" si="43"/>
        <v>476.99392</v>
      </c>
      <c r="G253" s="106">
        <f t="shared" si="44"/>
        <v>240.82608</v>
      </c>
      <c r="H253" s="106">
        <f t="shared" si="45"/>
        <v>236.16784</v>
      </c>
      <c r="I253" s="107"/>
      <c r="J253" s="107"/>
      <c r="K253" s="107"/>
      <c r="L253" s="107"/>
      <c r="M253" s="107"/>
      <c r="N253" s="107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7"/>
      <c r="Z253" s="107"/>
      <c r="AA253" s="159"/>
      <c r="AB253" s="106"/>
      <c r="AC253" s="107"/>
      <c r="AD253" s="107"/>
      <c r="AE253" s="107"/>
      <c r="AF253" s="107"/>
      <c r="AG253" s="107"/>
      <c r="AH253" s="107"/>
      <c r="AI253" s="107"/>
      <c r="AJ253" s="108">
        <v>0</v>
      </c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6"/>
      <c r="AZ253" s="107"/>
      <c r="BA253" s="107"/>
      <c r="BB253" s="107"/>
      <c r="BC253" s="107">
        <v>240.82608</v>
      </c>
      <c r="BD253" s="107">
        <v>236.16784</v>
      </c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9"/>
      <c r="BR253" s="109"/>
      <c r="BS253" s="109"/>
      <c r="BT253" s="109"/>
      <c r="BU253" s="138"/>
    </row>
    <row r="254" spans="1:73" ht="33.75" customHeight="1" outlineLevel="2">
      <c r="A254" s="35" t="s">
        <v>780</v>
      </c>
      <c r="B254" s="37" t="s">
        <v>1236</v>
      </c>
      <c r="C254" s="20" t="s">
        <v>1496</v>
      </c>
      <c r="D254" s="218" t="s">
        <v>1238</v>
      </c>
      <c r="E254" s="203" t="s">
        <v>2088</v>
      </c>
      <c r="F254" s="108">
        <f t="shared" si="43"/>
        <v>1090.63741</v>
      </c>
      <c r="G254" s="106">
        <f t="shared" si="44"/>
        <v>529.12817</v>
      </c>
      <c r="H254" s="106">
        <f t="shared" si="45"/>
        <v>561.5092400000001</v>
      </c>
      <c r="I254" s="107"/>
      <c r="J254" s="107"/>
      <c r="K254" s="107"/>
      <c r="L254" s="107"/>
      <c r="M254" s="107"/>
      <c r="N254" s="107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7"/>
      <c r="Z254" s="107"/>
      <c r="AA254" s="159">
        <v>287.40558</v>
      </c>
      <c r="AB254" s="106">
        <v>168.36213</v>
      </c>
      <c r="AC254" s="107"/>
      <c r="AD254" s="107"/>
      <c r="AE254" s="107"/>
      <c r="AF254" s="107"/>
      <c r="AG254" s="107"/>
      <c r="AH254" s="107"/>
      <c r="AI254" s="107"/>
      <c r="AJ254" s="108">
        <v>40.329</v>
      </c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6"/>
      <c r="AZ254" s="107"/>
      <c r="BA254" s="107">
        <v>115.7709</v>
      </c>
      <c r="BB254" s="107"/>
      <c r="BC254" s="107">
        <v>241.72259</v>
      </c>
      <c r="BD254" s="107">
        <v>237.04721</v>
      </c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9"/>
      <c r="BR254" s="109"/>
      <c r="BS254" s="109"/>
      <c r="BT254" s="109"/>
      <c r="BU254" s="138"/>
    </row>
    <row r="255" spans="1:73" ht="40.5" customHeight="1" outlineLevel="2">
      <c r="A255" s="2" t="s">
        <v>780</v>
      </c>
      <c r="B255" s="33" t="s">
        <v>1395</v>
      </c>
      <c r="C255" s="4" t="s">
        <v>710</v>
      </c>
      <c r="D255" s="240" t="s">
        <v>781</v>
      </c>
      <c r="E255" s="241" t="s">
        <v>2060</v>
      </c>
      <c r="F255" s="108">
        <f t="shared" si="43"/>
        <v>4018.03024</v>
      </c>
      <c r="G255" s="106">
        <f t="shared" si="44"/>
        <v>986.3222</v>
      </c>
      <c r="H255" s="106">
        <f t="shared" si="45"/>
        <v>3031.70804</v>
      </c>
      <c r="I255" s="119"/>
      <c r="J255" s="119"/>
      <c r="K255" s="119">
        <v>481.41876</v>
      </c>
      <c r="L255" s="119">
        <v>179.62774</v>
      </c>
      <c r="M255" s="119"/>
      <c r="N255" s="119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19">
        <v>12.62675</v>
      </c>
      <c r="Z255" s="119">
        <v>59.895</v>
      </c>
      <c r="AA255" s="163">
        <v>231.87642</v>
      </c>
      <c r="AB255" s="120">
        <v>138.65116</v>
      </c>
      <c r="AC255" s="119"/>
      <c r="AD255" s="119"/>
      <c r="AE255" s="119"/>
      <c r="AF255" s="119"/>
      <c r="AG255" s="119"/>
      <c r="AH255" s="119"/>
      <c r="AI255" s="119"/>
      <c r="AJ255" s="108">
        <v>48.93252</v>
      </c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20"/>
      <c r="AZ255" s="119"/>
      <c r="BA255" s="119"/>
      <c r="BB255" s="119"/>
      <c r="BC255" s="119">
        <v>260.40027</v>
      </c>
      <c r="BD255" s="119">
        <v>255.36238</v>
      </c>
      <c r="BE255" s="119"/>
      <c r="BF255" s="119"/>
      <c r="BG255" s="119"/>
      <c r="BH255" s="119"/>
      <c r="BI255" s="119"/>
      <c r="BJ255" s="119">
        <v>2349.23924</v>
      </c>
      <c r="BK255" s="119"/>
      <c r="BL255" s="119"/>
      <c r="BM255" s="119"/>
      <c r="BN255" s="119"/>
      <c r="BO255" s="119"/>
      <c r="BP255" s="119"/>
      <c r="BQ255" s="121"/>
      <c r="BR255" s="121"/>
      <c r="BS255" s="121"/>
      <c r="BT255" s="121"/>
      <c r="BU255" s="140"/>
    </row>
    <row r="256" spans="1:73" ht="40.5" customHeight="1" outlineLevel="2">
      <c r="A256" s="2" t="s">
        <v>780</v>
      </c>
      <c r="B256" s="37" t="s">
        <v>1722</v>
      </c>
      <c r="C256" s="20" t="s">
        <v>587</v>
      </c>
      <c r="D256" s="218" t="s">
        <v>1663</v>
      </c>
      <c r="E256" s="220" t="s">
        <v>2061</v>
      </c>
      <c r="F256" s="108">
        <f t="shared" si="43"/>
        <v>29.81736</v>
      </c>
      <c r="G256" s="106">
        <f t="shared" si="44"/>
        <v>16.19613</v>
      </c>
      <c r="H256" s="106">
        <f t="shared" si="45"/>
        <v>13.62123</v>
      </c>
      <c r="I256" s="119"/>
      <c r="J256" s="119"/>
      <c r="K256" s="119"/>
      <c r="L256" s="119"/>
      <c r="M256" s="119"/>
      <c r="N256" s="119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19"/>
      <c r="Z256" s="119"/>
      <c r="AA256" s="163">
        <v>11.39477</v>
      </c>
      <c r="AB256" s="120">
        <v>8.91329</v>
      </c>
      <c r="AC256" s="119"/>
      <c r="AD256" s="119"/>
      <c r="AE256" s="119"/>
      <c r="AF256" s="119"/>
      <c r="AG256" s="119"/>
      <c r="AH256" s="119"/>
      <c r="AI256" s="119"/>
      <c r="AJ256" s="108">
        <v>0</v>
      </c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20"/>
      <c r="AZ256" s="119"/>
      <c r="BA256" s="119"/>
      <c r="BB256" s="119"/>
      <c r="BC256" s="119">
        <v>4.80136</v>
      </c>
      <c r="BD256" s="119">
        <v>4.70794</v>
      </c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21"/>
      <c r="BR256" s="121"/>
      <c r="BS256" s="121"/>
      <c r="BT256" s="121"/>
      <c r="BU256" s="140"/>
    </row>
    <row r="257" spans="1:73" ht="40.5" customHeight="1" outlineLevel="2">
      <c r="A257" s="19" t="s">
        <v>780</v>
      </c>
      <c r="B257" s="37" t="s">
        <v>1412</v>
      </c>
      <c r="C257" s="20" t="s">
        <v>587</v>
      </c>
      <c r="D257" s="239">
        <v>241000396362</v>
      </c>
      <c r="E257" s="242" t="s">
        <v>2062</v>
      </c>
      <c r="F257" s="108">
        <f t="shared" si="43"/>
        <v>257.40707</v>
      </c>
      <c r="G257" s="106">
        <f t="shared" si="44"/>
        <v>51.52074</v>
      </c>
      <c r="H257" s="106">
        <f t="shared" si="45"/>
        <v>205.88633</v>
      </c>
      <c r="I257" s="107"/>
      <c r="J257" s="107"/>
      <c r="K257" s="107"/>
      <c r="L257" s="107"/>
      <c r="M257" s="107"/>
      <c r="N257" s="107"/>
      <c r="O257" s="106">
        <v>10.56431</v>
      </c>
      <c r="P257" s="106">
        <v>4.74567</v>
      </c>
      <c r="Q257" s="106"/>
      <c r="R257" s="106"/>
      <c r="S257" s="106"/>
      <c r="T257" s="106"/>
      <c r="U257" s="106"/>
      <c r="V257" s="106"/>
      <c r="W257" s="106"/>
      <c r="X257" s="106"/>
      <c r="Y257" s="107"/>
      <c r="Z257" s="107"/>
      <c r="AA257" s="106">
        <v>20.67508</v>
      </c>
      <c r="AB257" s="106">
        <v>17.82658</v>
      </c>
      <c r="AC257" s="107"/>
      <c r="AD257" s="107"/>
      <c r="AE257" s="107"/>
      <c r="AF257" s="107"/>
      <c r="AG257" s="107"/>
      <c r="AH257" s="107"/>
      <c r="AI257" s="107"/>
      <c r="AJ257" s="108">
        <v>0</v>
      </c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6"/>
      <c r="AZ257" s="107"/>
      <c r="BA257" s="107"/>
      <c r="BB257" s="107"/>
      <c r="BC257" s="107">
        <v>20.28135</v>
      </c>
      <c r="BD257" s="107">
        <v>19.88874</v>
      </c>
      <c r="BE257" s="107"/>
      <c r="BF257" s="107"/>
      <c r="BG257" s="107"/>
      <c r="BH257" s="107"/>
      <c r="BI257" s="107"/>
      <c r="BJ257" s="107">
        <v>163.42534</v>
      </c>
      <c r="BK257" s="107"/>
      <c r="BL257" s="107"/>
      <c r="BM257" s="107"/>
      <c r="BN257" s="107"/>
      <c r="BO257" s="107"/>
      <c r="BP257" s="107"/>
      <c r="BQ257" s="109"/>
      <c r="BR257" s="109"/>
      <c r="BS257" s="109"/>
      <c r="BT257" s="109"/>
      <c r="BU257" s="138"/>
    </row>
    <row r="258" spans="1:73" ht="40.5" customHeight="1" outlineLevel="2">
      <c r="A258" s="19" t="s">
        <v>780</v>
      </c>
      <c r="B258" s="37" t="s">
        <v>262</v>
      </c>
      <c r="C258" s="20" t="s">
        <v>587</v>
      </c>
      <c r="D258" s="239">
        <v>241001725570</v>
      </c>
      <c r="E258" s="242" t="s">
        <v>2063</v>
      </c>
      <c r="F258" s="108">
        <f t="shared" si="43"/>
        <v>186.25259</v>
      </c>
      <c r="G258" s="106">
        <f t="shared" si="44"/>
        <v>102.99599</v>
      </c>
      <c r="H258" s="106">
        <f t="shared" si="45"/>
        <v>83.25659999999999</v>
      </c>
      <c r="I258" s="107"/>
      <c r="J258" s="107"/>
      <c r="K258" s="107"/>
      <c r="L258" s="107"/>
      <c r="M258" s="107"/>
      <c r="N258" s="107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7"/>
      <c r="Z258" s="107"/>
      <c r="AA258" s="159">
        <v>58.49236</v>
      </c>
      <c r="AB258" s="106">
        <v>39.61462</v>
      </c>
      <c r="AC258" s="107"/>
      <c r="AD258" s="107"/>
      <c r="AE258" s="107"/>
      <c r="AF258" s="107"/>
      <c r="AG258" s="107"/>
      <c r="AH258" s="107"/>
      <c r="AI258" s="107"/>
      <c r="AJ258" s="108">
        <v>0</v>
      </c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6"/>
      <c r="AZ258" s="107"/>
      <c r="BA258" s="107"/>
      <c r="BB258" s="107"/>
      <c r="BC258" s="107">
        <v>44.50363</v>
      </c>
      <c r="BD258" s="107">
        <v>43.64198</v>
      </c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9"/>
      <c r="BR258" s="109"/>
      <c r="BS258" s="109"/>
      <c r="BT258" s="109"/>
      <c r="BU258" s="138"/>
    </row>
    <row r="259" spans="1:73" ht="40.5" customHeight="1" outlineLevel="2">
      <c r="A259" s="19" t="s">
        <v>780</v>
      </c>
      <c r="B259" s="37" t="s">
        <v>263</v>
      </c>
      <c r="C259" s="20" t="s">
        <v>587</v>
      </c>
      <c r="D259" s="239">
        <v>241000828573</v>
      </c>
      <c r="E259" s="242" t="s">
        <v>2064</v>
      </c>
      <c r="F259" s="108">
        <f t="shared" si="43"/>
        <v>53.8267</v>
      </c>
      <c r="G259" s="106">
        <f t="shared" si="44"/>
        <v>29.855150000000002</v>
      </c>
      <c r="H259" s="106">
        <f t="shared" si="45"/>
        <v>23.97155</v>
      </c>
      <c r="I259" s="107"/>
      <c r="J259" s="107"/>
      <c r="K259" s="107"/>
      <c r="L259" s="107"/>
      <c r="M259" s="107"/>
      <c r="N259" s="107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7"/>
      <c r="Z259" s="107"/>
      <c r="AA259" s="159">
        <v>16.51969</v>
      </c>
      <c r="AB259" s="106">
        <v>10.89402</v>
      </c>
      <c r="AC259" s="107"/>
      <c r="AD259" s="107"/>
      <c r="AE259" s="107"/>
      <c r="AF259" s="107"/>
      <c r="AG259" s="107"/>
      <c r="AH259" s="107"/>
      <c r="AI259" s="107"/>
      <c r="AJ259" s="108">
        <v>0</v>
      </c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6"/>
      <c r="AZ259" s="107"/>
      <c r="BA259" s="107"/>
      <c r="BB259" s="107"/>
      <c r="BC259" s="107">
        <v>13.33546</v>
      </c>
      <c r="BD259" s="107">
        <v>13.07753</v>
      </c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9"/>
      <c r="BR259" s="109"/>
      <c r="BS259" s="109"/>
      <c r="BT259" s="109"/>
      <c r="BU259" s="138"/>
    </row>
    <row r="260" spans="1:73" ht="40.5" customHeight="1" outlineLevel="2">
      <c r="A260" s="35" t="s">
        <v>780</v>
      </c>
      <c r="B260" s="37" t="s">
        <v>424</v>
      </c>
      <c r="C260" s="20" t="s">
        <v>587</v>
      </c>
      <c r="D260" s="218" t="s">
        <v>1239</v>
      </c>
      <c r="E260" s="220" t="s">
        <v>2065</v>
      </c>
      <c r="F260" s="108">
        <f t="shared" si="43"/>
        <v>114.90090000000001</v>
      </c>
      <c r="G260" s="106">
        <f t="shared" si="44"/>
        <v>65.15852000000001</v>
      </c>
      <c r="H260" s="106">
        <f t="shared" si="45"/>
        <v>49.74238</v>
      </c>
      <c r="I260" s="107"/>
      <c r="J260" s="107"/>
      <c r="K260" s="107"/>
      <c r="L260" s="107"/>
      <c r="M260" s="107"/>
      <c r="N260" s="107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7"/>
      <c r="Z260" s="107"/>
      <c r="AA260" s="159">
        <v>38.67316</v>
      </c>
      <c r="AB260" s="106">
        <v>23.76877</v>
      </c>
      <c r="AC260" s="107"/>
      <c r="AD260" s="107"/>
      <c r="AE260" s="107"/>
      <c r="AF260" s="107"/>
      <c r="AG260" s="107"/>
      <c r="AH260" s="107"/>
      <c r="AI260" s="107"/>
      <c r="AJ260" s="108">
        <v>0</v>
      </c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6"/>
      <c r="AZ260" s="107"/>
      <c r="BA260" s="107"/>
      <c r="BB260" s="107"/>
      <c r="BC260" s="107">
        <v>26.48536</v>
      </c>
      <c r="BD260" s="107">
        <v>25.97361</v>
      </c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9"/>
      <c r="BR260" s="109"/>
      <c r="BS260" s="109"/>
      <c r="BT260" s="109"/>
      <c r="BU260" s="138"/>
    </row>
    <row r="261" spans="1:73" ht="40.5" customHeight="1" outlineLevel="2">
      <c r="A261" s="35" t="s">
        <v>780</v>
      </c>
      <c r="B261" s="37" t="s">
        <v>423</v>
      </c>
      <c r="C261" s="20" t="s">
        <v>587</v>
      </c>
      <c r="D261" s="218" t="s">
        <v>808</v>
      </c>
      <c r="E261" s="220" t="s">
        <v>2066</v>
      </c>
      <c r="F261" s="108">
        <f t="shared" si="43"/>
        <v>577.43173</v>
      </c>
      <c r="G261" s="106">
        <f t="shared" si="44"/>
        <v>318.62257</v>
      </c>
      <c r="H261" s="106">
        <f t="shared" si="45"/>
        <v>258.80916</v>
      </c>
      <c r="I261" s="107"/>
      <c r="J261" s="107"/>
      <c r="K261" s="107"/>
      <c r="L261" s="107"/>
      <c r="M261" s="107"/>
      <c r="N261" s="107"/>
      <c r="O261" s="106">
        <v>49.70298</v>
      </c>
      <c r="P261" s="106">
        <v>1.5042</v>
      </c>
      <c r="Q261" s="106"/>
      <c r="R261" s="106"/>
      <c r="S261" s="106"/>
      <c r="T261" s="106"/>
      <c r="U261" s="106"/>
      <c r="V261" s="106"/>
      <c r="W261" s="106"/>
      <c r="X261" s="106"/>
      <c r="Y261" s="107"/>
      <c r="Z261" s="107"/>
      <c r="AA261" s="159">
        <v>120.46665</v>
      </c>
      <c r="AB261" s="106">
        <v>89.13289</v>
      </c>
      <c r="AC261" s="107"/>
      <c r="AD261" s="107"/>
      <c r="AE261" s="107"/>
      <c r="AF261" s="107"/>
      <c r="AG261" s="107"/>
      <c r="AH261" s="107"/>
      <c r="AI261" s="107"/>
      <c r="AJ261" s="108">
        <v>22.58424</v>
      </c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6"/>
      <c r="AZ261" s="107"/>
      <c r="BA261" s="107"/>
      <c r="BB261" s="107"/>
      <c r="BC261" s="107">
        <v>148.45294</v>
      </c>
      <c r="BD261" s="107">
        <v>145.58783</v>
      </c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9"/>
      <c r="BR261" s="109"/>
      <c r="BS261" s="109"/>
      <c r="BT261" s="109"/>
      <c r="BU261" s="138"/>
    </row>
    <row r="262" spans="1:73" ht="40.5" customHeight="1" outlineLevel="2">
      <c r="A262" s="35" t="s">
        <v>780</v>
      </c>
      <c r="B262" s="37" t="s">
        <v>1397</v>
      </c>
      <c r="C262" s="20" t="s">
        <v>587</v>
      </c>
      <c r="D262" s="239">
        <v>241001280113</v>
      </c>
      <c r="E262" s="242" t="s">
        <v>2067</v>
      </c>
      <c r="F262" s="108">
        <f t="shared" si="43"/>
        <v>288.99513</v>
      </c>
      <c r="G262" s="106">
        <f t="shared" si="44"/>
        <v>134.26107000000002</v>
      </c>
      <c r="H262" s="106">
        <f t="shared" si="45"/>
        <v>154.73406</v>
      </c>
      <c r="I262" s="107"/>
      <c r="J262" s="107"/>
      <c r="K262" s="107"/>
      <c r="L262" s="107"/>
      <c r="M262" s="107"/>
      <c r="N262" s="107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7"/>
      <c r="Z262" s="107"/>
      <c r="AA262" s="159">
        <v>38.71507</v>
      </c>
      <c r="AB262" s="106">
        <v>23.76877</v>
      </c>
      <c r="AC262" s="107"/>
      <c r="AD262" s="107"/>
      <c r="AE262" s="107"/>
      <c r="AF262" s="107"/>
      <c r="AG262" s="107"/>
      <c r="AH262" s="107"/>
      <c r="AI262" s="107"/>
      <c r="AJ262" s="108">
        <v>37.267039999999994</v>
      </c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6"/>
      <c r="AZ262" s="107"/>
      <c r="BA262" s="107"/>
      <c r="BB262" s="107"/>
      <c r="BC262" s="107">
        <v>95.546</v>
      </c>
      <c r="BD262" s="107">
        <v>93.69825</v>
      </c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9"/>
      <c r="BR262" s="109"/>
      <c r="BS262" s="109"/>
      <c r="BT262" s="109"/>
      <c r="BU262" s="138"/>
    </row>
    <row r="263" spans="1:73" ht="40.5" customHeight="1" outlineLevel="2">
      <c r="A263" s="35" t="s">
        <v>780</v>
      </c>
      <c r="B263" s="37" t="s">
        <v>1747</v>
      </c>
      <c r="C263" s="20" t="s">
        <v>587</v>
      </c>
      <c r="D263" s="239">
        <v>241000759168</v>
      </c>
      <c r="E263" s="242" t="s">
        <v>2068</v>
      </c>
      <c r="F263" s="108">
        <f t="shared" si="43"/>
        <v>84.09074000000001</v>
      </c>
      <c r="G263" s="106">
        <f t="shared" si="44"/>
        <v>44.47612</v>
      </c>
      <c r="H263" s="106">
        <f t="shared" si="45"/>
        <v>39.61462</v>
      </c>
      <c r="I263" s="107"/>
      <c r="J263" s="107"/>
      <c r="K263" s="107"/>
      <c r="L263" s="107"/>
      <c r="M263" s="107"/>
      <c r="N263" s="107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7"/>
      <c r="Z263" s="107"/>
      <c r="AA263" s="159">
        <v>44.47612</v>
      </c>
      <c r="AB263" s="106">
        <v>39.61462</v>
      </c>
      <c r="AC263" s="107"/>
      <c r="AD263" s="107"/>
      <c r="AE263" s="107"/>
      <c r="AF263" s="107"/>
      <c r="AG263" s="107"/>
      <c r="AH263" s="107"/>
      <c r="AI263" s="107"/>
      <c r="AJ263" s="108">
        <v>0</v>
      </c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6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9"/>
      <c r="BR263" s="109"/>
      <c r="BS263" s="109"/>
      <c r="BT263" s="109"/>
      <c r="BU263" s="138"/>
    </row>
    <row r="264" spans="1:73" ht="40.5" customHeight="1" outlineLevel="2">
      <c r="A264" s="35" t="s">
        <v>780</v>
      </c>
      <c r="B264" s="37" t="s">
        <v>1614</v>
      </c>
      <c r="C264" s="20" t="s">
        <v>587</v>
      </c>
      <c r="D264" s="239">
        <v>241001730605</v>
      </c>
      <c r="E264" s="242" t="s">
        <v>2069</v>
      </c>
      <c r="F264" s="108">
        <f t="shared" si="43"/>
        <v>39.45406</v>
      </c>
      <c r="G264" s="106">
        <f t="shared" si="44"/>
        <v>21.24508</v>
      </c>
      <c r="H264" s="106">
        <f t="shared" si="45"/>
        <v>18.20898</v>
      </c>
      <c r="I264" s="107"/>
      <c r="J264" s="107"/>
      <c r="K264" s="107"/>
      <c r="L264" s="107"/>
      <c r="M264" s="107"/>
      <c r="N264" s="107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7"/>
      <c r="Z264" s="107"/>
      <c r="AA264" s="159">
        <v>10.75577</v>
      </c>
      <c r="AB264" s="106">
        <v>7.92292</v>
      </c>
      <c r="AC264" s="107"/>
      <c r="AD264" s="107"/>
      <c r="AE264" s="107"/>
      <c r="AF264" s="107"/>
      <c r="AG264" s="107"/>
      <c r="AH264" s="107"/>
      <c r="AI264" s="107"/>
      <c r="AJ264" s="108">
        <v>0</v>
      </c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6"/>
      <c r="AZ264" s="107"/>
      <c r="BA264" s="107"/>
      <c r="BB264" s="107"/>
      <c r="BC264" s="107">
        <v>10.48931</v>
      </c>
      <c r="BD264" s="107">
        <v>10.28606</v>
      </c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9"/>
      <c r="BR264" s="109"/>
      <c r="BS264" s="109"/>
      <c r="BT264" s="109"/>
      <c r="BU264" s="138"/>
    </row>
    <row r="265" spans="1:73" ht="40.5" customHeight="1" outlineLevel="2">
      <c r="A265" s="35" t="s">
        <v>780</v>
      </c>
      <c r="B265" s="37" t="s">
        <v>1616</v>
      </c>
      <c r="C265" s="20" t="s">
        <v>587</v>
      </c>
      <c r="D265" s="239">
        <v>241000404239</v>
      </c>
      <c r="E265" s="242" t="s">
        <v>2070</v>
      </c>
      <c r="F265" s="108">
        <f t="shared" si="43"/>
        <v>70.4881</v>
      </c>
      <c r="G265" s="106">
        <f t="shared" si="44"/>
        <v>37.07283</v>
      </c>
      <c r="H265" s="106">
        <f t="shared" si="45"/>
        <v>33.41527</v>
      </c>
      <c r="I265" s="107"/>
      <c r="J265" s="107"/>
      <c r="K265" s="107"/>
      <c r="L265" s="107"/>
      <c r="M265" s="107"/>
      <c r="N265" s="107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7"/>
      <c r="Z265" s="107"/>
      <c r="AA265" s="159">
        <v>13.09744</v>
      </c>
      <c r="AB265" s="106">
        <v>9.90365</v>
      </c>
      <c r="AC265" s="107"/>
      <c r="AD265" s="107"/>
      <c r="AE265" s="107"/>
      <c r="AF265" s="107"/>
      <c r="AG265" s="107"/>
      <c r="AH265" s="107"/>
      <c r="AI265" s="107"/>
      <c r="AJ265" s="108">
        <v>0</v>
      </c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6"/>
      <c r="AZ265" s="107"/>
      <c r="BA265" s="107"/>
      <c r="BB265" s="107"/>
      <c r="BC265" s="107">
        <v>23.97539</v>
      </c>
      <c r="BD265" s="107">
        <v>23.51162</v>
      </c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7"/>
      <c r="BQ265" s="109"/>
      <c r="BR265" s="109"/>
      <c r="BS265" s="109"/>
      <c r="BT265" s="109"/>
      <c r="BU265" s="138"/>
    </row>
    <row r="266" spans="1:73" ht="40.5" outlineLevel="2">
      <c r="A266" s="35" t="s">
        <v>780</v>
      </c>
      <c r="B266" s="37" t="s">
        <v>1615</v>
      </c>
      <c r="C266" s="20" t="s">
        <v>587</v>
      </c>
      <c r="D266" s="239">
        <v>241000920057</v>
      </c>
      <c r="E266" s="242" t="s">
        <v>2071</v>
      </c>
      <c r="F266" s="108">
        <f t="shared" si="43"/>
        <v>16.51662</v>
      </c>
      <c r="G266" s="106">
        <f t="shared" si="44"/>
        <v>8.59868</v>
      </c>
      <c r="H266" s="106">
        <f t="shared" si="45"/>
        <v>7.917940000000001</v>
      </c>
      <c r="I266" s="107"/>
      <c r="J266" s="107"/>
      <c r="K266" s="107"/>
      <c r="L266" s="107"/>
      <c r="M266" s="107"/>
      <c r="N266" s="107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7"/>
      <c r="Z266" s="107"/>
      <c r="AA266" s="159">
        <v>2.54408</v>
      </c>
      <c r="AB266" s="106">
        <v>1.98073</v>
      </c>
      <c r="AC266" s="107"/>
      <c r="AD266" s="107"/>
      <c r="AE266" s="107"/>
      <c r="AF266" s="107"/>
      <c r="AG266" s="107"/>
      <c r="AH266" s="107"/>
      <c r="AI266" s="107"/>
      <c r="AJ266" s="108">
        <v>0</v>
      </c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6"/>
      <c r="AZ266" s="107"/>
      <c r="BA266" s="107"/>
      <c r="BB266" s="107"/>
      <c r="BC266" s="107">
        <v>6.0546</v>
      </c>
      <c r="BD266" s="107">
        <v>5.93721</v>
      </c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7"/>
      <c r="BQ266" s="109"/>
      <c r="BR266" s="109"/>
      <c r="BS266" s="109"/>
      <c r="BT266" s="109"/>
      <c r="BU266" s="138"/>
    </row>
    <row r="267" spans="1:73" ht="38.25" customHeight="1" outlineLevel="2">
      <c r="A267" s="35" t="s">
        <v>780</v>
      </c>
      <c r="B267" s="37" t="s">
        <v>1746</v>
      </c>
      <c r="C267" s="20" t="s">
        <v>587</v>
      </c>
      <c r="D267" s="218" t="s">
        <v>1795</v>
      </c>
      <c r="E267" s="243" t="s">
        <v>2072</v>
      </c>
      <c r="F267" s="108">
        <f t="shared" si="43"/>
        <v>378.64721999999995</v>
      </c>
      <c r="G267" s="106">
        <f t="shared" si="44"/>
        <v>173.73405</v>
      </c>
      <c r="H267" s="106">
        <f t="shared" si="45"/>
        <v>204.91316999999998</v>
      </c>
      <c r="I267" s="107"/>
      <c r="J267" s="107"/>
      <c r="K267" s="107"/>
      <c r="L267" s="107"/>
      <c r="M267" s="107"/>
      <c r="N267" s="107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7"/>
      <c r="Z267" s="107"/>
      <c r="AA267" s="159">
        <v>117.71817</v>
      </c>
      <c r="AB267" s="106">
        <v>79.22924</v>
      </c>
      <c r="AC267" s="107"/>
      <c r="AD267" s="107"/>
      <c r="AE267" s="107"/>
      <c r="AF267" s="107"/>
      <c r="AG267" s="107"/>
      <c r="AH267" s="107"/>
      <c r="AI267" s="107"/>
      <c r="AJ267" s="108">
        <v>0</v>
      </c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6"/>
      <c r="AZ267" s="107">
        <v>70.758</v>
      </c>
      <c r="BA267" s="107"/>
      <c r="BB267" s="107"/>
      <c r="BC267" s="107">
        <v>56.01588</v>
      </c>
      <c r="BD267" s="107">
        <v>54.92593</v>
      </c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9"/>
      <c r="BR267" s="109"/>
      <c r="BS267" s="109"/>
      <c r="BT267" s="109"/>
      <c r="BU267" s="138"/>
    </row>
    <row r="268" spans="1:73" ht="37.5" customHeight="1" outlineLevel="2">
      <c r="A268" s="19" t="s">
        <v>780</v>
      </c>
      <c r="B268" s="37" t="s">
        <v>1446</v>
      </c>
      <c r="C268" s="20" t="s">
        <v>587</v>
      </c>
      <c r="D268" s="218" t="s">
        <v>1664</v>
      </c>
      <c r="E268" s="203" t="s">
        <v>2073</v>
      </c>
      <c r="F268" s="108">
        <f t="shared" si="43"/>
        <v>83.93028</v>
      </c>
      <c r="G268" s="106">
        <f t="shared" si="44"/>
        <v>45.13503</v>
      </c>
      <c r="H268" s="106">
        <f t="shared" si="45"/>
        <v>38.795249999999996</v>
      </c>
      <c r="I268" s="107"/>
      <c r="J268" s="107"/>
      <c r="K268" s="107"/>
      <c r="L268" s="107"/>
      <c r="M268" s="107"/>
      <c r="N268" s="107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7"/>
      <c r="Z268" s="107"/>
      <c r="AA268" s="106">
        <v>25.36759</v>
      </c>
      <c r="AB268" s="106">
        <v>19.41116</v>
      </c>
      <c r="AC268" s="107"/>
      <c r="AD268" s="107"/>
      <c r="AE268" s="107"/>
      <c r="AF268" s="107"/>
      <c r="AG268" s="107"/>
      <c r="AH268" s="107"/>
      <c r="AI268" s="107"/>
      <c r="AJ268" s="108">
        <v>0</v>
      </c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6"/>
      <c r="AZ268" s="107"/>
      <c r="BA268" s="107"/>
      <c r="BB268" s="107"/>
      <c r="BC268" s="107">
        <v>19.76744</v>
      </c>
      <c r="BD268" s="107">
        <v>19.38409</v>
      </c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9"/>
      <c r="BR268" s="109"/>
      <c r="BS268" s="109"/>
      <c r="BT268" s="109"/>
      <c r="BU268" s="138"/>
    </row>
    <row r="269" spans="1:73" ht="40.5" customHeight="1" outlineLevel="2">
      <c r="A269" s="19" t="s">
        <v>780</v>
      </c>
      <c r="B269" s="22" t="s">
        <v>679</v>
      </c>
      <c r="C269" s="20" t="s">
        <v>710</v>
      </c>
      <c r="D269" s="239">
        <v>245200741824</v>
      </c>
      <c r="E269" s="242" t="s">
        <v>2074</v>
      </c>
      <c r="F269" s="108">
        <f t="shared" si="43"/>
        <v>432.06502</v>
      </c>
      <c r="G269" s="106">
        <f t="shared" si="44"/>
        <v>205.97538</v>
      </c>
      <c r="H269" s="106">
        <f t="shared" si="45"/>
        <v>226.08964</v>
      </c>
      <c r="I269" s="107"/>
      <c r="J269" s="107"/>
      <c r="K269" s="107"/>
      <c r="L269" s="107"/>
      <c r="M269" s="107"/>
      <c r="N269" s="107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7"/>
      <c r="Z269" s="107"/>
      <c r="AA269" s="159">
        <v>102.90219</v>
      </c>
      <c r="AB269" s="106">
        <v>79.22924</v>
      </c>
      <c r="AC269" s="107"/>
      <c r="AD269" s="107"/>
      <c r="AE269" s="107"/>
      <c r="AF269" s="107"/>
      <c r="AG269" s="107"/>
      <c r="AH269" s="107"/>
      <c r="AI269" s="107"/>
      <c r="AJ269" s="108">
        <v>0</v>
      </c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6"/>
      <c r="AZ269" s="107"/>
      <c r="BA269" s="107"/>
      <c r="BB269" s="107"/>
      <c r="BC269" s="107">
        <v>103.07319</v>
      </c>
      <c r="BD269" s="107">
        <v>101.07825</v>
      </c>
      <c r="BE269" s="107"/>
      <c r="BF269" s="107"/>
      <c r="BG269" s="107"/>
      <c r="BH269" s="107"/>
      <c r="BI269" s="107"/>
      <c r="BJ269" s="107">
        <v>45.78215</v>
      </c>
      <c r="BK269" s="107"/>
      <c r="BL269" s="107"/>
      <c r="BM269" s="107"/>
      <c r="BN269" s="107"/>
      <c r="BO269" s="107"/>
      <c r="BP269" s="107"/>
      <c r="BQ269" s="109"/>
      <c r="BR269" s="109"/>
      <c r="BS269" s="109"/>
      <c r="BT269" s="109"/>
      <c r="BU269" s="138"/>
    </row>
    <row r="270" spans="1:73" ht="40.5" customHeight="1" outlineLevel="2">
      <c r="A270" s="19" t="s">
        <v>780</v>
      </c>
      <c r="B270" s="37" t="s">
        <v>1432</v>
      </c>
      <c r="C270" s="20" t="s">
        <v>710</v>
      </c>
      <c r="D270" s="239">
        <v>241001395107</v>
      </c>
      <c r="E270" s="242" t="s">
        <v>2075</v>
      </c>
      <c r="F270" s="108">
        <f t="shared" si="43"/>
        <v>421.27178000000004</v>
      </c>
      <c r="G270" s="106">
        <f t="shared" si="44"/>
        <v>193.98546</v>
      </c>
      <c r="H270" s="106">
        <f t="shared" si="45"/>
        <v>227.28632000000002</v>
      </c>
      <c r="I270" s="107"/>
      <c r="J270" s="107"/>
      <c r="K270" s="107"/>
      <c r="L270" s="107"/>
      <c r="M270" s="107"/>
      <c r="N270" s="107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7"/>
      <c r="Z270" s="107"/>
      <c r="AA270" s="159">
        <v>101.47338</v>
      </c>
      <c r="AB270" s="106">
        <v>73.28704</v>
      </c>
      <c r="AC270" s="107"/>
      <c r="AD270" s="107"/>
      <c r="AE270" s="107"/>
      <c r="AF270" s="107"/>
      <c r="AG270" s="107"/>
      <c r="AH270" s="107"/>
      <c r="AI270" s="107"/>
      <c r="AJ270" s="108">
        <v>0</v>
      </c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6"/>
      <c r="AZ270" s="107"/>
      <c r="BA270" s="107">
        <v>19.34765</v>
      </c>
      <c r="BB270" s="107"/>
      <c r="BC270" s="107">
        <v>92.51208</v>
      </c>
      <c r="BD270" s="107">
        <v>90.72341</v>
      </c>
      <c r="BE270" s="107"/>
      <c r="BF270" s="107"/>
      <c r="BG270" s="107"/>
      <c r="BH270" s="107"/>
      <c r="BI270" s="107"/>
      <c r="BJ270" s="107">
        <v>43.92822</v>
      </c>
      <c r="BK270" s="107"/>
      <c r="BL270" s="107"/>
      <c r="BM270" s="107"/>
      <c r="BN270" s="107"/>
      <c r="BO270" s="107"/>
      <c r="BP270" s="107"/>
      <c r="BQ270" s="109"/>
      <c r="BR270" s="109"/>
      <c r="BS270" s="109"/>
      <c r="BT270" s="109"/>
      <c r="BU270" s="138"/>
    </row>
    <row r="271" spans="1:73" ht="40.5" customHeight="1" outlineLevel="2">
      <c r="A271" s="35" t="s">
        <v>780</v>
      </c>
      <c r="B271" s="37" t="s">
        <v>1394</v>
      </c>
      <c r="C271" s="20" t="s">
        <v>710</v>
      </c>
      <c r="D271" s="218" t="s">
        <v>343</v>
      </c>
      <c r="E271" s="220" t="s">
        <v>2076</v>
      </c>
      <c r="F271" s="108">
        <f t="shared" si="43"/>
        <v>2279.7429899999997</v>
      </c>
      <c r="G271" s="106">
        <f t="shared" si="44"/>
        <v>442.5983</v>
      </c>
      <c r="H271" s="106">
        <f t="shared" si="45"/>
        <v>1837.1446899999999</v>
      </c>
      <c r="I271" s="107"/>
      <c r="J271" s="107"/>
      <c r="K271" s="107">
        <v>108.2831</v>
      </c>
      <c r="L271" s="107">
        <v>13.04057</v>
      </c>
      <c r="M271" s="107"/>
      <c r="N271" s="107"/>
      <c r="O271" s="106">
        <v>32.9442</v>
      </c>
      <c r="P271" s="106">
        <v>1.70623</v>
      </c>
      <c r="Q271" s="106"/>
      <c r="R271" s="106"/>
      <c r="S271" s="106">
        <v>6.52159</v>
      </c>
      <c r="T271" s="106">
        <v>3.26078</v>
      </c>
      <c r="U271" s="106"/>
      <c r="V271" s="106"/>
      <c r="W271" s="106"/>
      <c r="X271" s="106"/>
      <c r="Y271" s="107"/>
      <c r="Z271" s="107"/>
      <c r="AA271" s="159">
        <v>166.89309</v>
      </c>
      <c r="AB271" s="106">
        <v>99.03655</v>
      </c>
      <c r="AC271" s="107"/>
      <c r="AD271" s="107"/>
      <c r="AE271" s="107"/>
      <c r="AF271" s="107"/>
      <c r="AG271" s="107"/>
      <c r="AH271" s="107"/>
      <c r="AI271" s="107"/>
      <c r="AJ271" s="108">
        <v>0</v>
      </c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6"/>
      <c r="AZ271" s="107"/>
      <c r="BA271" s="107"/>
      <c r="BB271" s="107"/>
      <c r="BC271" s="107">
        <v>127.95632</v>
      </c>
      <c r="BD271" s="107">
        <v>125.48192</v>
      </c>
      <c r="BE271" s="107"/>
      <c r="BF271" s="107"/>
      <c r="BG271" s="107"/>
      <c r="BH271" s="107"/>
      <c r="BI271" s="107"/>
      <c r="BJ271" s="107">
        <v>1511.68438</v>
      </c>
      <c r="BK271" s="107"/>
      <c r="BL271" s="107">
        <v>19.2645</v>
      </c>
      <c r="BM271" s="107">
        <v>63.66976</v>
      </c>
      <c r="BN271" s="107"/>
      <c r="BO271" s="107"/>
      <c r="BP271" s="107"/>
      <c r="BQ271" s="109"/>
      <c r="BR271" s="109"/>
      <c r="BS271" s="109"/>
      <c r="BT271" s="109"/>
      <c r="BU271" s="138"/>
    </row>
    <row r="272" spans="1:73" ht="40.5" customHeight="1" outlineLevel="2">
      <c r="A272" s="19" t="s">
        <v>780</v>
      </c>
      <c r="B272" s="37" t="s">
        <v>126</v>
      </c>
      <c r="C272" s="20" t="s">
        <v>710</v>
      </c>
      <c r="D272" s="239">
        <v>241000291232</v>
      </c>
      <c r="E272" s="242" t="s">
        <v>2077</v>
      </c>
      <c r="F272" s="108">
        <f t="shared" si="43"/>
        <v>372.75082999999995</v>
      </c>
      <c r="G272" s="106">
        <f t="shared" si="44"/>
        <v>220.44419</v>
      </c>
      <c r="H272" s="106">
        <f t="shared" si="45"/>
        <v>152.30664</v>
      </c>
      <c r="I272" s="107"/>
      <c r="J272" s="107"/>
      <c r="K272" s="107"/>
      <c r="L272" s="107"/>
      <c r="M272" s="107"/>
      <c r="N272" s="107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7"/>
      <c r="Z272" s="107"/>
      <c r="AA272" s="159">
        <v>170.16348</v>
      </c>
      <c r="AB272" s="106">
        <v>102.99801</v>
      </c>
      <c r="AC272" s="107"/>
      <c r="AD272" s="107"/>
      <c r="AE272" s="107"/>
      <c r="AF272" s="107"/>
      <c r="AG272" s="107"/>
      <c r="AH272" s="107"/>
      <c r="AI272" s="107"/>
      <c r="AJ272" s="108">
        <v>0</v>
      </c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7"/>
      <c r="AV272" s="107"/>
      <c r="AW272" s="107"/>
      <c r="AX272" s="107"/>
      <c r="AY272" s="106"/>
      <c r="AZ272" s="107"/>
      <c r="BA272" s="107"/>
      <c r="BB272" s="107"/>
      <c r="BC272" s="107">
        <v>50.28071</v>
      </c>
      <c r="BD272" s="107">
        <v>49.30863</v>
      </c>
      <c r="BE272" s="107"/>
      <c r="BF272" s="107"/>
      <c r="BG272" s="107"/>
      <c r="BH272" s="107"/>
      <c r="BI272" s="107"/>
      <c r="BJ272" s="107"/>
      <c r="BK272" s="107"/>
      <c r="BL272" s="107"/>
      <c r="BM272" s="107"/>
      <c r="BN272" s="107"/>
      <c r="BO272" s="107"/>
      <c r="BP272" s="107"/>
      <c r="BQ272" s="109"/>
      <c r="BR272" s="109"/>
      <c r="BS272" s="109"/>
      <c r="BT272" s="109"/>
      <c r="BU272" s="138"/>
    </row>
    <row r="273" spans="1:73" ht="40.5" customHeight="1" outlineLevel="2">
      <c r="A273" s="19" t="s">
        <v>780</v>
      </c>
      <c r="B273" s="37" t="s">
        <v>1443</v>
      </c>
      <c r="C273" s="20" t="s">
        <v>710</v>
      </c>
      <c r="D273" s="239">
        <v>241000020338</v>
      </c>
      <c r="E273" s="242" t="s">
        <v>2078</v>
      </c>
      <c r="F273" s="108">
        <f t="shared" si="43"/>
        <v>82.16695</v>
      </c>
      <c r="G273" s="106">
        <f t="shared" si="44"/>
        <v>41.48546</v>
      </c>
      <c r="H273" s="106">
        <f t="shared" si="45"/>
        <v>40.68149</v>
      </c>
      <c r="I273" s="107"/>
      <c r="J273" s="107"/>
      <c r="K273" s="107"/>
      <c r="L273" s="107"/>
      <c r="M273" s="107"/>
      <c r="N273" s="107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7"/>
      <c r="Z273" s="107"/>
      <c r="AA273" s="159"/>
      <c r="AB273" s="106"/>
      <c r="AC273" s="107"/>
      <c r="AD273" s="107"/>
      <c r="AE273" s="107"/>
      <c r="AF273" s="107"/>
      <c r="AG273" s="107"/>
      <c r="AH273" s="107"/>
      <c r="AI273" s="107"/>
      <c r="AJ273" s="108">
        <v>0</v>
      </c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6"/>
      <c r="AZ273" s="107"/>
      <c r="BA273" s="107"/>
      <c r="BB273" s="107"/>
      <c r="BC273" s="107">
        <v>41.48546</v>
      </c>
      <c r="BD273" s="107">
        <v>40.68149</v>
      </c>
      <c r="BE273" s="107"/>
      <c r="BF273" s="107"/>
      <c r="BG273" s="107"/>
      <c r="BH273" s="107"/>
      <c r="BI273" s="107"/>
      <c r="BJ273" s="107"/>
      <c r="BK273" s="107"/>
      <c r="BL273" s="107"/>
      <c r="BM273" s="107"/>
      <c r="BN273" s="107"/>
      <c r="BO273" s="107"/>
      <c r="BP273" s="107"/>
      <c r="BQ273" s="109"/>
      <c r="BR273" s="109"/>
      <c r="BS273" s="109"/>
      <c r="BT273" s="109"/>
      <c r="BU273" s="138"/>
    </row>
    <row r="274" spans="1:73" ht="40.5" customHeight="1" outlineLevel="2">
      <c r="A274" s="19" t="s">
        <v>780</v>
      </c>
      <c r="B274" s="37" t="s">
        <v>1433</v>
      </c>
      <c r="C274" s="20" t="s">
        <v>710</v>
      </c>
      <c r="D274" s="239">
        <v>241000047072</v>
      </c>
      <c r="E274" s="242" t="s">
        <v>2079</v>
      </c>
      <c r="F274" s="108">
        <f t="shared" si="43"/>
        <v>52.469530000000006</v>
      </c>
      <c r="G274" s="106">
        <f t="shared" si="44"/>
        <v>26.49125</v>
      </c>
      <c r="H274" s="106">
        <f t="shared" si="45"/>
        <v>25.97828</v>
      </c>
      <c r="I274" s="107"/>
      <c r="J274" s="107"/>
      <c r="K274" s="107"/>
      <c r="L274" s="107"/>
      <c r="M274" s="107"/>
      <c r="N274" s="107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7"/>
      <c r="Z274" s="107"/>
      <c r="AA274" s="159"/>
      <c r="AB274" s="106"/>
      <c r="AC274" s="107"/>
      <c r="AD274" s="107"/>
      <c r="AE274" s="107"/>
      <c r="AF274" s="107"/>
      <c r="AG274" s="107"/>
      <c r="AH274" s="107"/>
      <c r="AI274" s="107"/>
      <c r="AJ274" s="108">
        <v>0</v>
      </c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6"/>
      <c r="AZ274" s="107"/>
      <c r="BA274" s="107"/>
      <c r="BB274" s="107"/>
      <c r="BC274" s="107">
        <v>26.49125</v>
      </c>
      <c r="BD274" s="107">
        <v>25.97828</v>
      </c>
      <c r="BE274" s="107"/>
      <c r="BF274" s="107"/>
      <c r="BG274" s="107"/>
      <c r="BH274" s="107"/>
      <c r="BI274" s="107"/>
      <c r="BJ274" s="107"/>
      <c r="BK274" s="107"/>
      <c r="BL274" s="107"/>
      <c r="BM274" s="107"/>
      <c r="BN274" s="107"/>
      <c r="BO274" s="107"/>
      <c r="BP274" s="107"/>
      <c r="BQ274" s="109"/>
      <c r="BR274" s="109"/>
      <c r="BS274" s="109"/>
      <c r="BT274" s="109"/>
      <c r="BU274" s="138"/>
    </row>
    <row r="275" spans="1:73" ht="40.5" customHeight="1" outlineLevel="2">
      <c r="A275" s="19" t="s">
        <v>780</v>
      </c>
      <c r="B275" s="37" t="s">
        <v>1445</v>
      </c>
      <c r="C275" s="20" t="s">
        <v>710</v>
      </c>
      <c r="D275" s="239">
        <v>241000396299</v>
      </c>
      <c r="E275" s="242" t="s">
        <v>2080</v>
      </c>
      <c r="F275" s="108">
        <f t="shared" si="43"/>
        <v>162.58496000000002</v>
      </c>
      <c r="G275" s="106">
        <f t="shared" si="44"/>
        <v>44.571470000000005</v>
      </c>
      <c r="H275" s="106">
        <f t="shared" si="45"/>
        <v>118.01349</v>
      </c>
      <c r="I275" s="107"/>
      <c r="J275" s="107"/>
      <c r="K275" s="107"/>
      <c r="L275" s="107"/>
      <c r="M275" s="107"/>
      <c r="N275" s="107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7"/>
      <c r="Z275" s="107"/>
      <c r="AA275" s="159">
        <v>17.80656</v>
      </c>
      <c r="AB275" s="106">
        <v>17.82658</v>
      </c>
      <c r="AC275" s="107"/>
      <c r="AD275" s="107"/>
      <c r="AE275" s="107"/>
      <c r="AF275" s="107"/>
      <c r="AG275" s="107"/>
      <c r="AH275" s="107"/>
      <c r="AI275" s="107"/>
      <c r="AJ275" s="108">
        <v>0</v>
      </c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6"/>
      <c r="AZ275" s="107"/>
      <c r="BA275" s="107">
        <v>73.93855</v>
      </c>
      <c r="BB275" s="107"/>
      <c r="BC275" s="107">
        <v>26.76491</v>
      </c>
      <c r="BD275" s="107">
        <v>26.24836</v>
      </c>
      <c r="BE275" s="107"/>
      <c r="BF275" s="107"/>
      <c r="BG275" s="107"/>
      <c r="BH275" s="107"/>
      <c r="BI275" s="107"/>
      <c r="BJ275" s="107"/>
      <c r="BK275" s="107"/>
      <c r="BL275" s="107"/>
      <c r="BM275" s="107"/>
      <c r="BN275" s="107"/>
      <c r="BO275" s="107"/>
      <c r="BP275" s="107"/>
      <c r="BQ275" s="109"/>
      <c r="BR275" s="109"/>
      <c r="BS275" s="109"/>
      <c r="BT275" s="109"/>
      <c r="BU275" s="138"/>
    </row>
    <row r="276" spans="1:73" ht="40.5" customHeight="1" outlineLevel="2">
      <c r="A276" s="35" t="s">
        <v>780</v>
      </c>
      <c r="B276" s="37" t="s">
        <v>1396</v>
      </c>
      <c r="C276" s="20" t="s">
        <v>710</v>
      </c>
      <c r="D276" s="239">
        <v>241000322219</v>
      </c>
      <c r="E276" s="242" t="s">
        <v>2081</v>
      </c>
      <c r="F276" s="108">
        <f t="shared" si="43"/>
        <v>182.63379</v>
      </c>
      <c r="G276" s="106">
        <f t="shared" si="44"/>
        <v>107.46174</v>
      </c>
      <c r="H276" s="106">
        <f t="shared" si="45"/>
        <v>75.17205</v>
      </c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59">
        <v>71.20243</v>
      </c>
      <c r="AB276" s="106">
        <v>39.61462</v>
      </c>
      <c r="AC276" s="107"/>
      <c r="AD276" s="107"/>
      <c r="AE276" s="107"/>
      <c r="AF276" s="107"/>
      <c r="AG276" s="107"/>
      <c r="AH276" s="107"/>
      <c r="AI276" s="107"/>
      <c r="AJ276" s="108">
        <v>0</v>
      </c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7"/>
      <c r="AV276" s="107"/>
      <c r="AW276" s="107"/>
      <c r="AX276" s="107"/>
      <c r="AY276" s="106"/>
      <c r="AZ276" s="107"/>
      <c r="BA276" s="107"/>
      <c r="BB276" s="107"/>
      <c r="BC276" s="107">
        <v>36.25931</v>
      </c>
      <c r="BD276" s="107">
        <v>35.55743</v>
      </c>
      <c r="BE276" s="107"/>
      <c r="BF276" s="107"/>
      <c r="BG276" s="107"/>
      <c r="BH276" s="107"/>
      <c r="BI276" s="107"/>
      <c r="BJ276" s="107"/>
      <c r="BK276" s="107"/>
      <c r="BL276" s="107"/>
      <c r="BM276" s="107"/>
      <c r="BN276" s="107"/>
      <c r="BO276" s="107"/>
      <c r="BP276" s="107"/>
      <c r="BQ276" s="109"/>
      <c r="BR276" s="109"/>
      <c r="BS276" s="109"/>
      <c r="BT276" s="109"/>
      <c r="BU276" s="138"/>
    </row>
    <row r="277" spans="1:73" ht="40.5" customHeight="1" outlineLevel="2">
      <c r="A277" s="19" t="s">
        <v>780</v>
      </c>
      <c r="B277" s="37" t="s">
        <v>1444</v>
      </c>
      <c r="C277" s="20" t="s">
        <v>710</v>
      </c>
      <c r="D277" s="239">
        <v>241001070437</v>
      </c>
      <c r="E277" s="242" t="s">
        <v>2082</v>
      </c>
      <c r="F277" s="108">
        <f t="shared" si="43"/>
        <v>86.33534</v>
      </c>
      <c r="G277" s="106">
        <f t="shared" si="44"/>
        <v>45.94741</v>
      </c>
      <c r="H277" s="106">
        <f t="shared" si="45"/>
        <v>40.38793</v>
      </c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59">
        <v>24.96014</v>
      </c>
      <c r="AB277" s="106">
        <v>19.80731</v>
      </c>
      <c r="AC277" s="107"/>
      <c r="AD277" s="107"/>
      <c r="AE277" s="107"/>
      <c r="AF277" s="107"/>
      <c r="AG277" s="107"/>
      <c r="AH277" s="107"/>
      <c r="AI277" s="107"/>
      <c r="AJ277" s="108">
        <v>0</v>
      </c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7"/>
      <c r="AV277" s="107"/>
      <c r="AW277" s="107"/>
      <c r="AX277" s="107"/>
      <c r="AY277" s="106"/>
      <c r="AZ277" s="107"/>
      <c r="BA277" s="107"/>
      <c r="BB277" s="107"/>
      <c r="BC277" s="107">
        <v>20.98727</v>
      </c>
      <c r="BD277" s="107">
        <v>20.58062</v>
      </c>
      <c r="BE277" s="107"/>
      <c r="BF277" s="107"/>
      <c r="BG277" s="107"/>
      <c r="BH277" s="107"/>
      <c r="BI277" s="107"/>
      <c r="BJ277" s="107"/>
      <c r="BK277" s="107"/>
      <c r="BL277" s="107"/>
      <c r="BM277" s="107"/>
      <c r="BN277" s="107"/>
      <c r="BO277" s="107"/>
      <c r="BP277" s="107"/>
      <c r="BQ277" s="109"/>
      <c r="BR277" s="109"/>
      <c r="BS277" s="109"/>
      <c r="BT277" s="109"/>
      <c r="BU277" s="138"/>
    </row>
    <row r="278" spans="1:73" ht="40.5" customHeight="1" outlineLevel="2">
      <c r="A278" s="19" t="s">
        <v>780</v>
      </c>
      <c r="B278" s="37" t="s">
        <v>1442</v>
      </c>
      <c r="C278" s="20" t="s">
        <v>710</v>
      </c>
      <c r="D278" s="218" t="s">
        <v>1696</v>
      </c>
      <c r="E278" s="220" t="s">
        <v>2083</v>
      </c>
      <c r="F278" s="108">
        <f t="shared" si="43"/>
        <v>337.94196</v>
      </c>
      <c r="G278" s="106">
        <f t="shared" si="44"/>
        <v>59.316629999999996</v>
      </c>
      <c r="H278" s="106">
        <f t="shared" si="45"/>
        <v>278.62533</v>
      </c>
      <c r="I278" s="107"/>
      <c r="J278" s="107"/>
      <c r="K278" s="107"/>
      <c r="L278" s="107"/>
      <c r="M278" s="107"/>
      <c r="N278" s="107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7"/>
      <c r="Z278" s="107"/>
      <c r="AA278" s="159">
        <v>36.10527</v>
      </c>
      <c r="AB278" s="106">
        <v>21.78804</v>
      </c>
      <c r="AC278" s="107"/>
      <c r="AD278" s="107"/>
      <c r="AE278" s="107"/>
      <c r="AF278" s="107"/>
      <c r="AG278" s="107"/>
      <c r="AH278" s="107"/>
      <c r="AI278" s="107"/>
      <c r="AJ278" s="108">
        <v>5.3772</v>
      </c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6"/>
      <c r="AZ278" s="107">
        <v>228.699</v>
      </c>
      <c r="BA278" s="107"/>
      <c r="BB278" s="107"/>
      <c r="BC278" s="107">
        <v>23.21136</v>
      </c>
      <c r="BD278" s="107">
        <v>22.76109</v>
      </c>
      <c r="BE278" s="107"/>
      <c r="BF278" s="107"/>
      <c r="BG278" s="107"/>
      <c r="BH278" s="107"/>
      <c r="BI278" s="107"/>
      <c r="BJ278" s="107"/>
      <c r="BK278" s="107"/>
      <c r="BL278" s="107"/>
      <c r="BM278" s="107"/>
      <c r="BN278" s="107"/>
      <c r="BO278" s="107"/>
      <c r="BP278" s="107"/>
      <c r="BQ278" s="109"/>
      <c r="BR278" s="109"/>
      <c r="BS278" s="109"/>
      <c r="BT278" s="109"/>
      <c r="BU278" s="138"/>
    </row>
    <row r="279" spans="1:73" ht="25.5" customHeight="1" outlineLevel="2">
      <c r="A279" s="35" t="s">
        <v>780</v>
      </c>
      <c r="B279" s="37" t="s">
        <v>119</v>
      </c>
      <c r="C279" s="20" t="s">
        <v>710</v>
      </c>
      <c r="D279" s="218" t="s">
        <v>1506</v>
      </c>
      <c r="E279" s="220" t="s">
        <v>2084</v>
      </c>
      <c r="F279" s="108">
        <f t="shared" si="43"/>
        <v>63.12062999999999</v>
      </c>
      <c r="G279" s="106">
        <f t="shared" si="44"/>
        <v>12.030660000000001</v>
      </c>
      <c r="H279" s="106">
        <f t="shared" si="45"/>
        <v>51.089969999999994</v>
      </c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06">
        <v>4.56465</v>
      </c>
      <c r="AB279" s="106">
        <v>2.77302</v>
      </c>
      <c r="AC279" s="107"/>
      <c r="AD279" s="107"/>
      <c r="AE279" s="107"/>
      <c r="AF279" s="107"/>
      <c r="AG279" s="107"/>
      <c r="AH279" s="107"/>
      <c r="AI279" s="107"/>
      <c r="AJ279" s="108">
        <v>0</v>
      </c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6"/>
      <c r="AZ279" s="107">
        <v>12.15</v>
      </c>
      <c r="BA279" s="107">
        <v>28.84595</v>
      </c>
      <c r="BB279" s="107"/>
      <c r="BC279" s="107">
        <v>7.46601</v>
      </c>
      <c r="BD279" s="107">
        <v>7.321</v>
      </c>
      <c r="BE279" s="107"/>
      <c r="BF279" s="107"/>
      <c r="BG279" s="107"/>
      <c r="BH279" s="107"/>
      <c r="BI279" s="107"/>
      <c r="BJ279" s="107"/>
      <c r="BK279" s="107"/>
      <c r="BL279" s="107"/>
      <c r="BM279" s="107"/>
      <c r="BN279" s="107"/>
      <c r="BO279" s="107"/>
      <c r="BP279" s="107"/>
      <c r="BQ279" s="109"/>
      <c r="BR279" s="109"/>
      <c r="BS279" s="109"/>
      <c r="BT279" s="109"/>
      <c r="BU279" s="138"/>
    </row>
    <row r="280" spans="1:73" ht="38.25" customHeight="1" outlineLevel="2">
      <c r="A280" s="35" t="s">
        <v>780</v>
      </c>
      <c r="B280" s="37" t="s">
        <v>310</v>
      </c>
      <c r="C280" s="20" t="s">
        <v>934</v>
      </c>
      <c r="D280" s="218" t="s">
        <v>488</v>
      </c>
      <c r="E280" s="203" t="s">
        <v>2086</v>
      </c>
      <c r="F280" s="108">
        <f t="shared" si="43"/>
        <v>1675.79485</v>
      </c>
      <c r="G280" s="106">
        <f t="shared" si="44"/>
        <v>735.89408</v>
      </c>
      <c r="H280" s="106">
        <f t="shared" si="45"/>
        <v>939.90077</v>
      </c>
      <c r="I280" s="107"/>
      <c r="J280" s="107"/>
      <c r="K280" s="107"/>
      <c r="L280" s="107"/>
      <c r="M280" s="107"/>
      <c r="N280" s="107"/>
      <c r="O280" s="106">
        <v>735.89408</v>
      </c>
      <c r="P280" s="106">
        <v>32.89014</v>
      </c>
      <c r="Q280" s="106"/>
      <c r="R280" s="106"/>
      <c r="S280" s="106"/>
      <c r="T280" s="106"/>
      <c r="U280" s="106"/>
      <c r="V280" s="106"/>
      <c r="W280" s="106"/>
      <c r="X280" s="106"/>
      <c r="Y280" s="107"/>
      <c r="Z280" s="107"/>
      <c r="AA280" s="106"/>
      <c r="AB280" s="106"/>
      <c r="AC280" s="107"/>
      <c r="AD280" s="107"/>
      <c r="AE280" s="107"/>
      <c r="AF280" s="107"/>
      <c r="AG280" s="107"/>
      <c r="AH280" s="107"/>
      <c r="AI280" s="107"/>
      <c r="AJ280" s="108">
        <v>0</v>
      </c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6"/>
      <c r="AZ280" s="107"/>
      <c r="BA280" s="107"/>
      <c r="BB280" s="107"/>
      <c r="BC280" s="107"/>
      <c r="BD280" s="107"/>
      <c r="BE280" s="107"/>
      <c r="BF280" s="107"/>
      <c r="BG280" s="107"/>
      <c r="BH280" s="107"/>
      <c r="BI280" s="107"/>
      <c r="BJ280" s="107">
        <v>907.01063</v>
      </c>
      <c r="BK280" s="107"/>
      <c r="BL280" s="107"/>
      <c r="BM280" s="107"/>
      <c r="BN280" s="107"/>
      <c r="BO280" s="107"/>
      <c r="BP280" s="107"/>
      <c r="BQ280" s="109"/>
      <c r="BR280" s="109"/>
      <c r="BS280" s="109"/>
      <c r="BT280" s="109"/>
      <c r="BU280" s="138"/>
    </row>
    <row r="281" spans="1:73" ht="29.25" customHeight="1" outlineLevel="2" thickBot="1">
      <c r="A281" s="38" t="s">
        <v>780</v>
      </c>
      <c r="B281" s="39" t="s">
        <v>540</v>
      </c>
      <c r="C281" s="27" t="s">
        <v>934</v>
      </c>
      <c r="D281" s="219" t="s">
        <v>541</v>
      </c>
      <c r="E281" s="203" t="s">
        <v>2085</v>
      </c>
      <c r="F281" s="108">
        <f t="shared" si="43"/>
        <v>1377.99661</v>
      </c>
      <c r="G281" s="106">
        <f t="shared" si="44"/>
        <v>0</v>
      </c>
      <c r="H281" s="106">
        <f t="shared" si="45"/>
        <v>1377.99661</v>
      </c>
      <c r="I281" s="113"/>
      <c r="J281" s="113"/>
      <c r="K281" s="113"/>
      <c r="L281" s="113"/>
      <c r="M281" s="113"/>
      <c r="N281" s="113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3"/>
      <c r="Z281" s="113"/>
      <c r="AA281" s="114"/>
      <c r="AB281" s="114"/>
      <c r="AC281" s="113"/>
      <c r="AD281" s="113"/>
      <c r="AE281" s="113"/>
      <c r="AF281" s="113"/>
      <c r="AG281" s="113"/>
      <c r="AH281" s="113"/>
      <c r="AI281" s="113"/>
      <c r="AJ281" s="108">
        <v>0</v>
      </c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4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>
        <v>1377.99661</v>
      </c>
      <c r="BO281" s="113"/>
      <c r="BP281" s="113"/>
      <c r="BQ281" s="115"/>
      <c r="BR281" s="115"/>
      <c r="BS281" s="115"/>
      <c r="BT281" s="115"/>
      <c r="BU281" s="139"/>
    </row>
    <row r="282" spans="1:73" s="32" customFormat="1" ht="21" outlineLevel="1" thickBot="1">
      <c r="A282" s="40" t="s">
        <v>542</v>
      </c>
      <c r="B282" s="41"/>
      <c r="C282" s="30" t="s">
        <v>1572</v>
      </c>
      <c r="D282" s="222"/>
      <c r="E282" s="223"/>
      <c r="F282" s="116">
        <f aca="true" t="shared" si="46" ref="F282:AV282">SUBTOTAL(9,F238:F281)</f>
        <v>70173.47743000003</v>
      </c>
      <c r="G282" s="116">
        <f t="shared" si="46"/>
        <v>26750.280509999997</v>
      </c>
      <c r="H282" s="116">
        <f t="shared" si="46"/>
        <v>43423.19692000002</v>
      </c>
      <c r="I282" s="116">
        <f t="shared" si="46"/>
        <v>0</v>
      </c>
      <c r="J282" s="116">
        <f t="shared" si="46"/>
        <v>33.39417</v>
      </c>
      <c r="K282" s="116">
        <f t="shared" si="46"/>
        <v>3537.1982800000005</v>
      </c>
      <c r="L282" s="116">
        <f t="shared" si="46"/>
        <v>607.62803</v>
      </c>
      <c r="M282" s="116">
        <f t="shared" si="46"/>
        <v>0</v>
      </c>
      <c r="N282" s="116">
        <f t="shared" si="46"/>
        <v>0</v>
      </c>
      <c r="O282" s="116">
        <f t="shared" si="46"/>
        <v>829.1055700000001</v>
      </c>
      <c r="P282" s="116">
        <f t="shared" si="46"/>
        <v>40.84624</v>
      </c>
      <c r="Q282" s="116">
        <f t="shared" si="46"/>
        <v>382.89072</v>
      </c>
      <c r="R282" s="116">
        <f t="shared" si="46"/>
        <v>0</v>
      </c>
      <c r="S282" s="116">
        <f t="shared" si="46"/>
        <v>149.58187</v>
      </c>
      <c r="T282" s="116">
        <f t="shared" si="46"/>
        <v>74.79091</v>
      </c>
      <c r="U282" s="116">
        <f t="shared" si="46"/>
        <v>0</v>
      </c>
      <c r="V282" s="116">
        <f t="shared" si="46"/>
        <v>0</v>
      </c>
      <c r="W282" s="116">
        <f t="shared" si="46"/>
        <v>0</v>
      </c>
      <c r="X282" s="116">
        <f t="shared" si="46"/>
        <v>0</v>
      </c>
      <c r="Y282" s="116">
        <f t="shared" si="46"/>
        <v>473.74101999999993</v>
      </c>
      <c r="Z282" s="116">
        <f t="shared" si="46"/>
        <v>1576.50174</v>
      </c>
      <c r="AA282" s="116">
        <f t="shared" si="46"/>
        <v>8228.04925</v>
      </c>
      <c r="AB282" s="116">
        <f t="shared" si="46"/>
        <v>5048.090819999999</v>
      </c>
      <c r="AC282" s="116">
        <f t="shared" si="46"/>
        <v>0</v>
      </c>
      <c r="AD282" s="116">
        <f t="shared" si="46"/>
        <v>0</v>
      </c>
      <c r="AE282" s="116">
        <f t="shared" si="46"/>
        <v>0</v>
      </c>
      <c r="AF282" s="116">
        <f t="shared" si="46"/>
        <v>0</v>
      </c>
      <c r="AG282" s="116">
        <f t="shared" si="46"/>
        <v>166.1892</v>
      </c>
      <c r="AH282" s="116">
        <f t="shared" si="46"/>
        <v>0</v>
      </c>
      <c r="AI282" s="116">
        <f t="shared" si="46"/>
        <v>0</v>
      </c>
      <c r="AJ282" s="116">
        <f>SUBTOTAL(9,AJ238:AJ281)</f>
        <v>2579.6661200000003</v>
      </c>
      <c r="AK282" s="116">
        <f t="shared" si="46"/>
        <v>0</v>
      </c>
      <c r="AL282" s="116">
        <f t="shared" si="46"/>
        <v>0</v>
      </c>
      <c r="AM282" s="116">
        <f t="shared" si="46"/>
        <v>70.2</v>
      </c>
      <c r="AN282" s="116">
        <f t="shared" si="46"/>
        <v>2.88</v>
      </c>
      <c r="AO282" s="116">
        <f t="shared" si="46"/>
        <v>0</v>
      </c>
      <c r="AP282" s="116">
        <f t="shared" si="46"/>
        <v>0</v>
      </c>
      <c r="AQ282" s="116">
        <f t="shared" si="46"/>
        <v>0</v>
      </c>
      <c r="AR282" s="116">
        <f t="shared" si="46"/>
        <v>0</v>
      </c>
      <c r="AS282" s="116">
        <f t="shared" si="46"/>
        <v>0</v>
      </c>
      <c r="AT282" s="116">
        <f t="shared" si="46"/>
        <v>0</v>
      </c>
      <c r="AU282" s="116">
        <f t="shared" si="46"/>
        <v>0</v>
      </c>
      <c r="AV282" s="116">
        <f t="shared" si="46"/>
        <v>0</v>
      </c>
      <c r="AW282" s="116">
        <f aca="true" t="shared" si="47" ref="AW282:BU282">SUBTOTAL(9,AW238:AW281)</f>
        <v>0</v>
      </c>
      <c r="AX282" s="116">
        <f t="shared" si="47"/>
        <v>2605.6126400000003</v>
      </c>
      <c r="AY282" s="116">
        <f t="shared" si="47"/>
        <v>1121.65894</v>
      </c>
      <c r="AZ282" s="116">
        <f t="shared" si="47"/>
        <v>1538.3160000000003</v>
      </c>
      <c r="BA282" s="116">
        <f t="shared" si="47"/>
        <v>1638.6810999999998</v>
      </c>
      <c r="BB282" s="116">
        <f t="shared" si="47"/>
        <v>0</v>
      </c>
      <c r="BC282" s="116">
        <f t="shared" si="47"/>
        <v>10926.991879999994</v>
      </c>
      <c r="BD282" s="116">
        <f t="shared" si="47"/>
        <v>10715.546210000002</v>
      </c>
      <c r="BE282" s="116">
        <f t="shared" si="47"/>
        <v>1873.9289899999999</v>
      </c>
      <c r="BF282" s="116">
        <f t="shared" si="47"/>
        <v>0</v>
      </c>
      <c r="BG282" s="116">
        <f t="shared" si="47"/>
        <v>0</v>
      </c>
      <c r="BH282" s="116">
        <f t="shared" si="47"/>
        <v>0</v>
      </c>
      <c r="BI282" s="116">
        <f t="shared" si="47"/>
        <v>0</v>
      </c>
      <c r="BJ282" s="116">
        <f t="shared" si="47"/>
        <v>13959.37817</v>
      </c>
      <c r="BK282" s="116"/>
      <c r="BL282" s="116">
        <f t="shared" si="47"/>
        <v>19.2645</v>
      </c>
      <c r="BM282" s="116">
        <f t="shared" si="47"/>
        <v>595.34845</v>
      </c>
      <c r="BN282" s="116">
        <f t="shared" si="47"/>
        <v>1377.99661</v>
      </c>
      <c r="BO282" s="116">
        <f t="shared" si="47"/>
        <v>0</v>
      </c>
      <c r="BP282" s="116">
        <f t="shared" si="47"/>
        <v>0</v>
      </c>
      <c r="BQ282" s="116">
        <f t="shared" si="47"/>
        <v>0</v>
      </c>
      <c r="BR282" s="116">
        <f t="shared" si="47"/>
        <v>0</v>
      </c>
      <c r="BS282" s="116">
        <f t="shared" si="47"/>
        <v>0</v>
      </c>
      <c r="BT282" s="116">
        <f t="shared" si="47"/>
        <v>0</v>
      </c>
      <c r="BU282" s="116">
        <f t="shared" si="47"/>
        <v>0</v>
      </c>
    </row>
    <row r="283" spans="1:73" s="185" customFormat="1" ht="39.75" customHeight="1" outlineLevel="2">
      <c r="A283" s="174" t="s">
        <v>1459</v>
      </c>
      <c r="B283" s="175" t="s">
        <v>492</v>
      </c>
      <c r="C283" s="176" t="s">
        <v>1496</v>
      </c>
      <c r="D283" s="244">
        <v>2411000385</v>
      </c>
      <c r="E283" s="245" t="s">
        <v>2103</v>
      </c>
      <c r="F283" s="177">
        <f t="shared" si="43"/>
        <v>11397.7094</v>
      </c>
      <c r="G283" s="106">
        <f>I283+K283+O283+S283+U283+W283+Y283+AA283+AC283+AE283+AR283+AX283+BC283+BG283+BP283+BR283+BT283+AO283</f>
        <v>6776.815979999999</v>
      </c>
      <c r="H283" s="106">
        <f>J283+L283+M283+N283+P283+Q283+R283+T283+V283+X283+Z283+AB283+AD283+AF283+AG283+AJ283+AL283+AS283+AT283+AU283+AV283+AW283+AY283+AZ283+BA283+BB283+BD283+BE283+BF283+BH283+BI283+BJ283+BL283+BM283+BN283+BO283+BQ283+BS283+BU283+AH283+AI283+AK283+AM283+AN283+AP283+AQ283+BK283</f>
        <v>4620.893419999999</v>
      </c>
      <c r="I283" s="179">
        <v>436.86876</v>
      </c>
      <c r="J283" s="179">
        <v>77.64384</v>
      </c>
      <c r="K283" s="179">
        <v>1854.17582</v>
      </c>
      <c r="L283" s="179">
        <v>356.04077</v>
      </c>
      <c r="M283" s="179"/>
      <c r="N283" s="179"/>
      <c r="O283" s="180"/>
      <c r="P283" s="180"/>
      <c r="Q283" s="180"/>
      <c r="R283" s="180"/>
      <c r="S283" s="180">
        <v>80.64296</v>
      </c>
      <c r="T283" s="180">
        <v>20.16074</v>
      </c>
      <c r="U283" s="180"/>
      <c r="V283" s="181"/>
      <c r="W283" s="181">
        <v>877.09019</v>
      </c>
      <c r="X283" s="181">
        <v>457.90249</v>
      </c>
      <c r="Y283" s="179">
        <v>56.24</v>
      </c>
      <c r="Z283" s="179">
        <v>147.741</v>
      </c>
      <c r="AA283" s="182">
        <v>331.14296</v>
      </c>
      <c r="AB283" s="180">
        <v>184.20797</v>
      </c>
      <c r="AC283" s="179"/>
      <c r="AD283" s="179"/>
      <c r="AE283" s="179"/>
      <c r="AF283" s="179"/>
      <c r="AG283" s="179"/>
      <c r="AH283" s="179"/>
      <c r="AI283" s="179"/>
      <c r="AJ283" s="177">
        <v>378.73852</v>
      </c>
      <c r="AK283" s="179"/>
      <c r="AL283" s="179"/>
      <c r="AM283" s="179"/>
      <c r="AN283" s="179"/>
      <c r="AO283" s="179"/>
      <c r="AP283" s="179"/>
      <c r="AQ283" s="179"/>
      <c r="AR283" s="179"/>
      <c r="AS283" s="179"/>
      <c r="AT283" s="179"/>
      <c r="AU283" s="179"/>
      <c r="AV283" s="179"/>
      <c r="AW283" s="179"/>
      <c r="AX283" s="179">
        <v>1678.29097</v>
      </c>
      <c r="AY283" s="180">
        <v>801.27512</v>
      </c>
      <c r="AZ283" s="179"/>
      <c r="BA283" s="179">
        <v>763.1421</v>
      </c>
      <c r="BB283" s="179"/>
      <c r="BC283" s="179">
        <v>1462.36432</v>
      </c>
      <c r="BD283" s="179">
        <v>1434.04087</v>
      </c>
      <c r="BE283" s="179"/>
      <c r="BF283" s="179"/>
      <c r="BG283" s="179"/>
      <c r="BH283" s="179"/>
      <c r="BI283" s="179"/>
      <c r="BJ283" s="179"/>
      <c r="BK283" s="179"/>
      <c r="BL283" s="179"/>
      <c r="BM283" s="179"/>
      <c r="BN283" s="179"/>
      <c r="BO283" s="179"/>
      <c r="BP283" s="179"/>
      <c r="BQ283" s="183"/>
      <c r="BR283" s="183"/>
      <c r="BS283" s="183"/>
      <c r="BT283" s="183"/>
      <c r="BU283" s="184"/>
    </row>
    <row r="284" spans="1:73" ht="41.25" customHeight="1" outlineLevel="2">
      <c r="A284" s="35" t="s">
        <v>1459</v>
      </c>
      <c r="B284" s="19" t="s">
        <v>658</v>
      </c>
      <c r="C284" s="20" t="s">
        <v>1496</v>
      </c>
      <c r="D284" s="218">
        <v>2411015254</v>
      </c>
      <c r="E284" s="203" t="s">
        <v>2106</v>
      </c>
      <c r="F284" s="108">
        <f t="shared" si="43"/>
        <v>41078.65883</v>
      </c>
      <c r="G284" s="106">
        <f aca="true" t="shared" si="48" ref="G284:G319">I284+K284+O284+S284+U284+W284+Y284+AA284+AC284+AE284+AR284+AX284+BC284+BG284+BP284+BR284+BT284+AO284</f>
        <v>10571.80168</v>
      </c>
      <c r="H284" s="106">
        <f aca="true" t="shared" si="49" ref="H284:H319">J284+L284+M284+N284+P284+Q284+R284+T284+V284+X284+Z284+AB284+AD284+AF284+AG284+AJ284+AL284+AS284+AT284+AU284+AV284+AW284+AY284+AZ284+BA284+BB284+BD284+BE284+BF284+BH284+BI284+BJ284+BL284+BM284+BN284+BO284+BQ284+BS284+BU284+AH284+AI284+AK284+AM284+AN284+AP284+AQ284+BK284</f>
        <v>30506.85715</v>
      </c>
      <c r="I284" s="107"/>
      <c r="J284" s="107"/>
      <c r="K284" s="107">
        <v>90.92192</v>
      </c>
      <c r="L284" s="107">
        <v>11.22901</v>
      </c>
      <c r="M284" s="107"/>
      <c r="N284" s="107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7"/>
      <c r="Z284" s="107"/>
      <c r="AA284" s="106"/>
      <c r="AB284" s="106"/>
      <c r="AC284" s="107">
        <v>149.09485</v>
      </c>
      <c r="AD284" s="107">
        <v>77.83795</v>
      </c>
      <c r="AE284" s="107"/>
      <c r="AF284" s="107"/>
      <c r="AG284" s="107"/>
      <c r="AH284" s="107"/>
      <c r="AI284" s="107"/>
      <c r="AJ284" s="108">
        <v>0</v>
      </c>
      <c r="AK284" s="107"/>
      <c r="AL284" s="107">
        <v>6543.03209</v>
      </c>
      <c r="AM284" s="107">
        <f>12591.696+3715.446</f>
        <v>16307.142</v>
      </c>
      <c r="AN284" s="107">
        <v>391.92156</v>
      </c>
      <c r="AO284" s="107">
        <v>9900</v>
      </c>
      <c r="AP284" s="107">
        <v>6240</v>
      </c>
      <c r="AQ284" s="107"/>
      <c r="AR284" s="107">
        <v>300</v>
      </c>
      <c r="AS284" s="107">
        <v>240</v>
      </c>
      <c r="AT284" s="107">
        <f>23.712+15.12</f>
        <v>38.832</v>
      </c>
      <c r="AU284" s="107">
        <v>449.8775</v>
      </c>
      <c r="AV284" s="107"/>
      <c r="AW284" s="107"/>
      <c r="AX284" s="107"/>
      <c r="AY284" s="106"/>
      <c r="AZ284" s="107"/>
      <c r="BA284" s="107"/>
      <c r="BB284" s="107"/>
      <c r="BC284" s="107">
        <v>131.78491</v>
      </c>
      <c r="BD284" s="107">
        <v>129.23084</v>
      </c>
      <c r="BE284" s="107"/>
      <c r="BF284" s="107"/>
      <c r="BG284" s="107"/>
      <c r="BH284" s="107"/>
      <c r="BI284" s="107"/>
      <c r="BJ284" s="107">
        <v>77.7542</v>
      </c>
      <c r="BK284" s="107"/>
      <c r="BL284" s="107"/>
      <c r="BM284" s="107"/>
      <c r="BN284" s="107"/>
      <c r="BO284" s="107"/>
      <c r="BP284" s="107"/>
      <c r="BQ284" s="109"/>
      <c r="BR284" s="109"/>
      <c r="BS284" s="109"/>
      <c r="BT284" s="109"/>
      <c r="BU284" s="138"/>
    </row>
    <row r="285" spans="1:73" ht="42.75" customHeight="1" outlineLevel="2">
      <c r="A285" s="35" t="s">
        <v>1459</v>
      </c>
      <c r="B285" s="19" t="s">
        <v>1748</v>
      </c>
      <c r="C285" s="20" t="s">
        <v>1496</v>
      </c>
      <c r="D285" s="218">
        <v>2411015247</v>
      </c>
      <c r="E285" s="203" t="s">
        <v>2105</v>
      </c>
      <c r="F285" s="108">
        <f t="shared" si="43"/>
        <v>3660.90472</v>
      </c>
      <c r="G285" s="106">
        <f t="shared" si="48"/>
        <v>960.32537</v>
      </c>
      <c r="H285" s="106">
        <f t="shared" si="49"/>
        <v>2700.57935</v>
      </c>
      <c r="I285" s="107"/>
      <c r="J285" s="107"/>
      <c r="K285" s="107"/>
      <c r="L285" s="107"/>
      <c r="M285" s="107"/>
      <c r="N285" s="107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7"/>
      <c r="Z285" s="107">
        <v>59.895</v>
      </c>
      <c r="AA285" s="159">
        <v>375.57244</v>
      </c>
      <c r="AB285" s="106">
        <v>262.84299</v>
      </c>
      <c r="AC285" s="107"/>
      <c r="AD285" s="107"/>
      <c r="AE285" s="107"/>
      <c r="AF285" s="107"/>
      <c r="AG285" s="107"/>
      <c r="AH285" s="107"/>
      <c r="AI285" s="107"/>
      <c r="AJ285" s="108">
        <v>914.62152</v>
      </c>
      <c r="AK285" s="107"/>
      <c r="AL285" s="107"/>
      <c r="AM285" s="107"/>
      <c r="AN285" s="107"/>
      <c r="AO285" s="107"/>
      <c r="AP285" s="107">
        <v>833.144</v>
      </c>
      <c r="AQ285" s="107"/>
      <c r="AR285" s="107"/>
      <c r="AS285" s="107"/>
      <c r="AT285" s="107"/>
      <c r="AU285" s="107"/>
      <c r="AV285" s="107"/>
      <c r="AW285" s="107"/>
      <c r="AX285" s="107"/>
      <c r="AY285" s="106"/>
      <c r="AZ285" s="107"/>
      <c r="BA285" s="107"/>
      <c r="BB285" s="107"/>
      <c r="BC285" s="107">
        <v>584.75293</v>
      </c>
      <c r="BD285" s="107">
        <v>573.46567</v>
      </c>
      <c r="BE285" s="107">
        <v>56.61017</v>
      </c>
      <c r="BF285" s="107"/>
      <c r="BG285" s="107"/>
      <c r="BH285" s="107"/>
      <c r="BI285" s="107"/>
      <c r="BJ285" s="107"/>
      <c r="BK285" s="107"/>
      <c r="BL285" s="107"/>
      <c r="BM285" s="107"/>
      <c r="BN285" s="107"/>
      <c r="BO285" s="107"/>
      <c r="BP285" s="107"/>
      <c r="BQ285" s="109"/>
      <c r="BR285" s="109"/>
      <c r="BS285" s="109"/>
      <c r="BT285" s="109"/>
      <c r="BU285" s="138"/>
    </row>
    <row r="286" spans="1:73" ht="36.75" customHeight="1" outlineLevel="2">
      <c r="A286" s="35" t="s">
        <v>1459</v>
      </c>
      <c r="B286" s="19" t="s">
        <v>1150</v>
      </c>
      <c r="C286" s="20" t="s">
        <v>1496</v>
      </c>
      <c r="D286" s="218">
        <v>2411015529</v>
      </c>
      <c r="E286" s="203" t="s">
        <v>2104</v>
      </c>
      <c r="F286" s="108">
        <f t="shared" si="43"/>
        <v>41387.93335</v>
      </c>
      <c r="G286" s="106">
        <f t="shared" si="48"/>
        <v>15208.16462</v>
      </c>
      <c r="H286" s="106">
        <f t="shared" si="49"/>
        <v>26179.76873</v>
      </c>
      <c r="I286" s="107">
        <v>15208.16462</v>
      </c>
      <c r="J286" s="107">
        <v>3082.55873</v>
      </c>
      <c r="K286" s="107"/>
      <c r="L286" s="107"/>
      <c r="M286" s="107"/>
      <c r="N286" s="107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7"/>
      <c r="Z286" s="107"/>
      <c r="AA286" s="106"/>
      <c r="AB286" s="106"/>
      <c r="AC286" s="107"/>
      <c r="AD286" s="107"/>
      <c r="AE286" s="107"/>
      <c r="AF286" s="107"/>
      <c r="AG286" s="107"/>
      <c r="AH286" s="107"/>
      <c r="AI286" s="107"/>
      <c r="AJ286" s="108">
        <v>0</v>
      </c>
      <c r="AK286" s="107"/>
      <c r="AL286" s="107"/>
      <c r="AM286" s="107">
        <v>412.152</v>
      </c>
      <c r="AN286" s="107">
        <v>1085.4</v>
      </c>
      <c r="AO286" s="107"/>
      <c r="AP286" s="107"/>
      <c r="AQ286" s="107"/>
      <c r="AR286" s="107"/>
      <c r="AS286" s="107"/>
      <c r="AT286" s="107"/>
      <c r="AU286" s="107"/>
      <c r="AV286" s="107"/>
      <c r="AW286" s="107"/>
      <c r="AX286" s="107"/>
      <c r="AY286" s="106"/>
      <c r="AZ286" s="107">
        <v>21599.658</v>
      </c>
      <c r="BA286" s="107"/>
      <c r="BB286" s="107"/>
      <c r="BC286" s="107"/>
      <c r="BD286" s="107"/>
      <c r="BE286" s="107"/>
      <c r="BF286" s="107"/>
      <c r="BG286" s="107"/>
      <c r="BH286" s="107"/>
      <c r="BI286" s="107"/>
      <c r="BJ286" s="107"/>
      <c r="BK286" s="107"/>
      <c r="BL286" s="107"/>
      <c r="BM286" s="107"/>
      <c r="BN286" s="107"/>
      <c r="BO286" s="107"/>
      <c r="BP286" s="107"/>
      <c r="BQ286" s="109"/>
      <c r="BR286" s="109"/>
      <c r="BS286" s="109"/>
      <c r="BT286" s="109"/>
      <c r="BU286" s="138"/>
    </row>
    <row r="287" spans="1:73" ht="60.75" outlineLevel="2">
      <c r="A287" s="35" t="s">
        <v>1459</v>
      </c>
      <c r="B287" s="19" t="s">
        <v>1463</v>
      </c>
      <c r="C287" s="20" t="s">
        <v>1496</v>
      </c>
      <c r="D287" s="218" t="s">
        <v>185</v>
      </c>
      <c r="E287" s="203" t="s">
        <v>2111</v>
      </c>
      <c r="F287" s="108">
        <f t="shared" si="43"/>
        <v>5490.2466</v>
      </c>
      <c r="G287" s="106">
        <f t="shared" si="48"/>
        <v>3874.7007</v>
      </c>
      <c r="H287" s="106">
        <f t="shared" si="49"/>
        <v>1615.5459</v>
      </c>
      <c r="I287" s="107">
        <v>3874.7007</v>
      </c>
      <c r="J287" s="107">
        <v>547.7139</v>
      </c>
      <c r="K287" s="107"/>
      <c r="L287" s="107"/>
      <c r="M287" s="107"/>
      <c r="N287" s="107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7"/>
      <c r="Z287" s="107"/>
      <c r="AA287" s="106"/>
      <c r="AB287" s="106"/>
      <c r="AC287" s="107"/>
      <c r="AD287" s="107"/>
      <c r="AE287" s="107"/>
      <c r="AF287" s="107"/>
      <c r="AG287" s="107"/>
      <c r="AH287" s="107"/>
      <c r="AI287" s="107"/>
      <c r="AJ287" s="108">
        <v>0</v>
      </c>
      <c r="AK287" s="107"/>
      <c r="AL287" s="107"/>
      <c r="AM287" s="107">
        <v>35.919</v>
      </c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6"/>
      <c r="AZ287" s="107">
        <v>1031.913</v>
      </c>
      <c r="BA287" s="107"/>
      <c r="BB287" s="107"/>
      <c r="BC287" s="107"/>
      <c r="BD287" s="107"/>
      <c r="BE287" s="107"/>
      <c r="BF287" s="107"/>
      <c r="BG287" s="107"/>
      <c r="BH287" s="107"/>
      <c r="BI287" s="107"/>
      <c r="BJ287" s="107"/>
      <c r="BK287" s="107"/>
      <c r="BL287" s="107"/>
      <c r="BM287" s="107"/>
      <c r="BN287" s="107"/>
      <c r="BO287" s="107"/>
      <c r="BP287" s="107"/>
      <c r="BQ287" s="109"/>
      <c r="BR287" s="109"/>
      <c r="BS287" s="109"/>
      <c r="BT287" s="109"/>
      <c r="BU287" s="138"/>
    </row>
    <row r="288" spans="1:73" ht="40.5" customHeight="1" outlineLevel="2">
      <c r="A288" s="35" t="s">
        <v>1459</v>
      </c>
      <c r="B288" s="19" t="s">
        <v>207</v>
      </c>
      <c r="C288" s="20" t="s">
        <v>1496</v>
      </c>
      <c r="D288" s="218" t="s">
        <v>1555</v>
      </c>
      <c r="E288" s="203" t="s">
        <v>2813</v>
      </c>
      <c r="F288" s="108">
        <f t="shared" si="43"/>
        <v>315.05496</v>
      </c>
      <c r="G288" s="106">
        <f t="shared" si="48"/>
        <v>157.87025</v>
      </c>
      <c r="H288" s="106">
        <f t="shared" si="49"/>
        <v>157.18471</v>
      </c>
      <c r="I288" s="107"/>
      <c r="J288" s="107"/>
      <c r="K288" s="107"/>
      <c r="L288" s="107"/>
      <c r="M288" s="107"/>
      <c r="N288" s="107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7"/>
      <c r="Z288" s="107"/>
      <c r="AA288" s="159"/>
      <c r="AB288" s="106"/>
      <c r="AC288" s="107"/>
      <c r="AD288" s="107"/>
      <c r="AE288" s="107"/>
      <c r="AF288" s="107"/>
      <c r="AG288" s="107"/>
      <c r="AH288" s="107"/>
      <c r="AI288" s="107"/>
      <c r="AJ288" s="108">
        <v>0</v>
      </c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  <c r="AY288" s="106"/>
      <c r="AZ288" s="107"/>
      <c r="BA288" s="107"/>
      <c r="BB288" s="107"/>
      <c r="BC288" s="107">
        <v>157.87025</v>
      </c>
      <c r="BD288" s="107">
        <v>157.18471</v>
      </c>
      <c r="BE288" s="107"/>
      <c r="BF288" s="107"/>
      <c r="BG288" s="107"/>
      <c r="BH288" s="107"/>
      <c r="BI288" s="107"/>
      <c r="BJ288" s="107"/>
      <c r="BK288" s="107"/>
      <c r="BL288" s="107"/>
      <c r="BM288" s="107"/>
      <c r="BN288" s="107"/>
      <c r="BO288" s="107"/>
      <c r="BP288" s="107"/>
      <c r="BQ288" s="109"/>
      <c r="BR288" s="109"/>
      <c r="BS288" s="109"/>
      <c r="BT288" s="109"/>
      <c r="BU288" s="138"/>
    </row>
    <row r="289" spans="1:73" ht="39.75" customHeight="1" outlineLevel="2">
      <c r="A289" s="35" t="s">
        <v>1459</v>
      </c>
      <c r="B289" s="19" t="s">
        <v>643</v>
      </c>
      <c r="C289" s="20" t="s">
        <v>1496</v>
      </c>
      <c r="D289" s="218">
        <v>2411014490</v>
      </c>
      <c r="E289" s="203" t="s">
        <v>2109</v>
      </c>
      <c r="F289" s="108">
        <f t="shared" si="43"/>
        <v>3210.6360200000004</v>
      </c>
      <c r="G289" s="106">
        <f t="shared" si="48"/>
        <v>1136.7765100000001</v>
      </c>
      <c r="H289" s="106">
        <f t="shared" si="49"/>
        <v>2073.8595100000002</v>
      </c>
      <c r="I289" s="107"/>
      <c r="J289" s="107"/>
      <c r="K289" s="107"/>
      <c r="L289" s="107"/>
      <c r="M289" s="107"/>
      <c r="N289" s="107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7">
        <v>16.83567</v>
      </c>
      <c r="Z289" s="107">
        <v>79.86</v>
      </c>
      <c r="AA289" s="159">
        <v>408.48125</v>
      </c>
      <c r="AB289" s="106">
        <v>164.40066</v>
      </c>
      <c r="AC289" s="107"/>
      <c r="AD289" s="107"/>
      <c r="AE289" s="107"/>
      <c r="AF289" s="107"/>
      <c r="AG289" s="107"/>
      <c r="AH289" s="107"/>
      <c r="AI289" s="107"/>
      <c r="AJ289" s="108">
        <v>195.28976</v>
      </c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7"/>
      <c r="AV289" s="107"/>
      <c r="AW289" s="107"/>
      <c r="AX289" s="107"/>
      <c r="AY289" s="106">
        <v>202.69851</v>
      </c>
      <c r="AZ289" s="107"/>
      <c r="BA289" s="107">
        <f>353.75+253.92497</f>
        <v>607.67497</v>
      </c>
      <c r="BB289" s="107"/>
      <c r="BC289" s="107">
        <v>711.45959</v>
      </c>
      <c r="BD289" s="107">
        <v>698.5162</v>
      </c>
      <c r="BE289" s="107"/>
      <c r="BF289" s="107"/>
      <c r="BG289" s="107"/>
      <c r="BH289" s="107"/>
      <c r="BI289" s="107"/>
      <c r="BJ289" s="107">
        <v>125.41941</v>
      </c>
      <c r="BK289" s="107"/>
      <c r="BL289" s="107"/>
      <c r="BM289" s="107"/>
      <c r="BN289" s="107"/>
      <c r="BO289" s="107"/>
      <c r="BP289" s="107"/>
      <c r="BQ289" s="109"/>
      <c r="BR289" s="109"/>
      <c r="BS289" s="109"/>
      <c r="BT289" s="109"/>
      <c r="BU289" s="138"/>
    </row>
    <row r="290" spans="1:73" ht="45" customHeight="1" outlineLevel="2">
      <c r="A290" s="35" t="s">
        <v>1459</v>
      </c>
      <c r="B290" s="19" t="s">
        <v>1240</v>
      </c>
      <c r="C290" s="20" t="s">
        <v>1496</v>
      </c>
      <c r="D290" s="218">
        <v>2411012976</v>
      </c>
      <c r="E290" s="203" t="s">
        <v>2107</v>
      </c>
      <c r="F290" s="108">
        <f t="shared" si="43"/>
        <v>12347.935039999998</v>
      </c>
      <c r="G290" s="106">
        <f t="shared" si="48"/>
        <v>5711.26905</v>
      </c>
      <c r="H290" s="106">
        <f t="shared" si="49"/>
        <v>6636.665989999999</v>
      </c>
      <c r="I290" s="107"/>
      <c r="J290" s="107"/>
      <c r="K290" s="107"/>
      <c r="L290" s="107"/>
      <c r="M290" s="107"/>
      <c r="N290" s="107"/>
      <c r="O290" s="106"/>
      <c r="P290" s="106"/>
      <c r="Q290" s="106"/>
      <c r="R290" s="106"/>
      <c r="S290" s="106"/>
      <c r="T290" s="106"/>
      <c r="U290" s="106"/>
      <c r="V290" s="106"/>
      <c r="W290" s="106">
        <v>632.00767</v>
      </c>
      <c r="X290" s="106">
        <v>329.95226</v>
      </c>
      <c r="Y290" s="107">
        <v>25.2535</v>
      </c>
      <c r="Z290" s="107">
        <v>119.79</v>
      </c>
      <c r="AA290" s="159">
        <v>442.25676</v>
      </c>
      <c r="AB290" s="106">
        <v>217.8804</v>
      </c>
      <c r="AC290" s="107"/>
      <c r="AD290" s="107"/>
      <c r="AE290" s="107"/>
      <c r="AF290" s="107"/>
      <c r="AG290" s="107"/>
      <c r="AH290" s="107"/>
      <c r="AI290" s="107"/>
      <c r="AJ290" s="108">
        <v>338.443</v>
      </c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7"/>
      <c r="AV290" s="107"/>
      <c r="AW290" s="107"/>
      <c r="AX290" s="107">
        <v>2779.82926</v>
      </c>
      <c r="AY290" s="106">
        <v>2248.40242</v>
      </c>
      <c r="AZ290" s="107"/>
      <c r="BA290" s="107"/>
      <c r="BB290" s="107"/>
      <c r="BC290" s="107">
        <v>1831.92186</v>
      </c>
      <c r="BD290" s="107">
        <v>1796.61382</v>
      </c>
      <c r="BE290" s="107">
        <v>119.36954</v>
      </c>
      <c r="BF290" s="107"/>
      <c r="BG290" s="107"/>
      <c r="BH290" s="107"/>
      <c r="BI290" s="107"/>
      <c r="BJ290" s="107">
        <v>1466.21455</v>
      </c>
      <c r="BK290" s="107"/>
      <c r="BL290" s="107"/>
      <c r="BM290" s="107"/>
      <c r="BN290" s="107"/>
      <c r="BO290" s="107"/>
      <c r="BP290" s="107"/>
      <c r="BQ290" s="109"/>
      <c r="BR290" s="109"/>
      <c r="BS290" s="109"/>
      <c r="BT290" s="109"/>
      <c r="BU290" s="138"/>
    </row>
    <row r="291" spans="1:73" ht="36" customHeight="1" outlineLevel="2">
      <c r="A291" s="35" t="s">
        <v>1459</v>
      </c>
      <c r="B291" s="19" t="s">
        <v>1241</v>
      </c>
      <c r="C291" s="20" t="s">
        <v>1496</v>
      </c>
      <c r="D291" s="218">
        <v>2411015455</v>
      </c>
      <c r="E291" s="203" t="s">
        <v>2110</v>
      </c>
      <c r="F291" s="108">
        <f t="shared" si="43"/>
        <v>1525.46781</v>
      </c>
      <c r="G291" s="106">
        <f t="shared" si="48"/>
        <v>513.77405</v>
      </c>
      <c r="H291" s="106">
        <f t="shared" si="49"/>
        <v>1011.69376</v>
      </c>
      <c r="I291" s="107"/>
      <c r="J291" s="107"/>
      <c r="K291" s="107"/>
      <c r="L291" s="107"/>
      <c r="M291" s="107"/>
      <c r="N291" s="107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7">
        <v>12.29447</v>
      </c>
      <c r="Z291" s="107">
        <v>98.002</v>
      </c>
      <c r="AA291" s="159">
        <v>185.45335</v>
      </c>
      <c r="AB291" s="106">
        <v>79.22924</v>
      </c>
      <c r="AC291" s="107"/>
      <c r="AD291" s="107"/>
      <c r="AE291" s="107"/>
      <c r="AF291" s="107"/>
      <c r="AG291" s="107"/>
      <c r="AH291" s="107"/>
      <c r="AI291" s="107"/>
      <c r="AJ291" s="108">
        <v>94.78076</v>
      </c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7"/>
      <c r="AV291" s="107"/>
      <c r="AW291" s="107"/>
      <c r="AX291" s="107"/>
      <c r="AY291" s="106"/>
      <c r="AZ291" s="107"/>
      <c r="BA291" s="107"/>
      <c r="BB291" s="107"/>
      <c r="BC291" s="107">
        <v>316.02623</v>
      </c>
      <c r="BD291" s="107">
        <v>309.92329</v>
      </c>
      <c r="BE291" s="107"/>
      <c r="BF291" s="107"/>
      <c r="BG291" s="107"/>
      <c r="BH291" s="107"/>
      <c r="BI291" s="107"/>
      <c r="BJ291" s="107">
        <v>429.75847</v>
      </c>
      <c r="BK291" s="107"/>
      <c r="BL291" s="107"/>
      <c r="BM291" s="107"/>
      <c r="BN291" s="107"/>
      <c r="BO291" s="107"/>
      <c r="BP291" s="107"/>
      <c r="BQ291" s="109"/>
      <c r="BR291" s="109"/>
      <c r="BS291" s="109"/>
      <c r="BT291" s="109"/>
      <c r="BU291" s="138"/>
    </row>
    <row r="292" spans="1:73" ht="39.75" customHeight="1" outlineLevel="2">
      <c r="A292" s="35" t="s">
        <v>1459</v>
      </c>
      <c r="B292" s="19" t="s">
        <v>857</v>
      </c>
      <c r="C292" s="20" t="s">
        <v>1496</v>
      </c>
      <c r="D292" s="218" t="s">
        <v>2840</v>
      </c>
      <c r="E292" s="220" t="s">
        <v>2841</v>
      </c>
      <c r="F292" s="108">
        <f t="shared" si="43"/>
        <v>136.71842</v>
      </c>
      <c r="G292" s="106">
        <f t="shared" si="48"/>
        <v>0</v>
      </c>
      <c r="H292" s="106">
        <f t="shared" si="49"/>
        <v>136.71842</v>
      </c>
      <c r="I292" s="107"/>
      <c r="J292" s="107"/>
      <c r="K292" s="107"/>
      <c r="L292" s="107"/>
      <c r="M292" s="107">
        <v>136.71842</v>
      </c>
      <c r="N292" s="107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7"/>
      <c r="Z292" s="107"/>
      <c r="AA292" s="106"/>
      <c r="AB292" s="106"/>
      <c r="AC292" s="107"/>
      <c r="AD292" s="107"/>
      <c r="AE292" s="107"/>
      <c r="AF292" s="107"/>
      <c r="AG292" s="107"/>
      <c r="AH292" s="107"/>
      <c r="AI292" s="107"/>
      <c r="AJ292" s="108">
        <v>0</v>
      </c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  <c r="AV292" s="107"/>
      <c r="AW292" s="107"/>
      <c r="AX292" s="107"/>
      <c r="AY292" s="106"/>
      <c r="AZ292" s="107"/>
      <c r="BA292" s="107"/>
      <c r="BB292" s="107"/>
      <c r="BC292" s="107"/>
      <c r="BD292" s="107"/>
      <c r="BE292" s="107"/>
      <c r="BF292" s="107"/>
      <c r="BG292" s="107"/>
      <c r="BH292" s="107"/>
      <c r="BI292" s="107"/>
      <c r="BJ292" s="107"/>
      <c r="BK292" s="107"/>
      <c r="BL292" s="107"/>
      <c r="BM292" s="107"/>
      <c r="BN292" s="107"/>
      <c r="BO292" s="107"/>
      <c r="BP292" s="107"/>
      <c r="BQ292" s="109"/>
      <c r="BR292" s="109"/>
      <c r="BS292" s="109"/>
      <c r="BT292" s="109"/>
      <c r="BU292" s="138"/>
    </row>
    <row r="293" spans="1:73" ht="41.25" customHeight="1" outlineLevel="2">
      <c r="A293" s="35" t="s">
        <v>1459</v>
      </c>
      <c r="B293" s="19" t="s">
        <v>975</v>
      </c>
      <c r="C293" s="20" t="s">
        <v>1496</v>
      </c>
      <c r="D293" s="218" t="s">
        <v>186</v>
      </c>
      <c r="E293" s="203" t="s">
        <v>2113</v>
      </c>
      <c r="F293" s="108">
        <f t="shared" si="43"/>
        <v>1656</v>
      </c>
      <c r="G293" s="106">
        <f t="shared" si="48"/>
        <v>0</v>
      </c>
      <c r="H293" s="106">
        <f t="shared" si="49"/>
        <v>1656</v>
      </c>
      <c r="I293" s="107"/>
      <c r="J293" s="107"/>
      <c r="K293" s="107"/>
      <c r="L293" s="107"/>
      <c r="M293" s="107"/>
      <c r="N293" s="107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7"/>
      <c r="Z293" s="107"/>
      <c r="AA293" s="106"/>
      <c r="AB293" s="106"/>
      <c r="AC293" s="107"/>
      <c r="AD293" s="107"/>
      <c r="AE293" s="107"/>
      <c r="AF293" s="107"/>
      <c r="AG293" s="107"/>
      <c r="AH293" s="107"/>
      <c r="AI293" s="107"/>
      <c r="AJ293" s="108">
        <v>0</v>
      </c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6"/>
      <c r="AZ293" s="107">
        <v>1656</v>
      </c>
      <c r="BA293" s="107"/>
      <c r="BB293" s="107"/>
      <c r="BC293" s="107"/>
      <c r="BD293" s="107"/>
      <c r="BE293" s="107"/>
      <c r="BF293" s="107"/>
      <c r="BG293" s="107"/>
      <c r="BH293" s="107"/>
      <c r="BI293" s="107"/>
      <c r="BJ293" s="107"/>
      <c r="BK293" s="107"/>
      <c r="BL293" s="107"/>
      <c r="BM293" s="107"/>
      <c r="BN293" s="107"/>
      <c r="BO293" s="107"/>
      <c r="BP293" s="107"/>
      <c r="BQ293" s="109"/>
      <c r="BR293" s="109"/>
      <c r="BS293" s="109"/>
      <c r="BT293" s="109"/>
      <c r="BU293" s="138"/>
    </row>
    <row r="294" spans="1:73" ht="33.75" customHeight="1" outlineLevel="2">
      <c r="A294" s="35" t="s">
        <v>1459</v>
      </c>
      <c r="B294" s="19" t="s">
        <v>1399</v>
      </c>
      <c r="C294" s="20" t="s">
        <v>1496</v>
      </c>
      <c r="D294" s="218">
        <v>2411014170</v>
      </c>
      <c r="E294" s="203" t="s">
        <v>2108</v>
      </c>
      <c r="F294" s="108">
        <f t="shared" si="43"/>
        <v>4465.2068899999995</v>
      </c>
      <c r="G294" s="106">
        <f t="shared" si="48"/>
        <v>1998.75635</v>
      </c>
      <c r="H294" s="106">
        <f t="shared" si="49"/>
        <v>2466.45054</v>
      </c>
      <c r="I294" s="107"/>
      <c r="J294" s="107"/>
      <c r="K294" s="107"/>
      <c r="L294" s="107"/>
      <c r="M294" s="107"/>
      <c r="N294" s="107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7">
        <v>38</v>
      </c>
      <c r="Z294" s="107"/>
      <c r="AA294" s="159">
        <v>285.76225</v>
      </c>
      <c r="AB294" s="106">
        <v>198.07309</v>
      </c>
      <c r="AC294" s="107"/>
      <c r="AD294" s="107"/>
      <c r="AE294" s="107"/>
      <c r="AF294" s="107"/>
      <c r="AG294" s="107"/>
      <c r="AH294" s="107"/>
      <c r="AI294" s="107"/>
      <c r="AJ294" s="108">
        <v>545.79452</v>
      </c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7"/>
      <c r="AV294" s="107">
        <v>524.16</v>
      </c>
      <c r="AW294" s="107"/>
      <c r="AX294" s="107">
        <v>848.24703</v>
      </c>
      <c r="AY294" s="106">
        <v>387.64644</v>
      </c>
      <c r="AZ294" s="107"/>
      <c r="BA294" s="107"/>
      <c r="BB294" s="107"/>
      <c r="BC294" s="107">
        <v>826.74707</v>
      </c>
      <c r="BD294" s="107">
        <v>810.77649</v>
      </c>
      <c r="BE294" s="107"/>
      <c r="BF294" s="107"/>
      <c r="BG294" s="107"/>
      <c r="BH294" s="107"/>
      <c r="BI294" s="107"/>
      <c r="BJ294" s="107"/>
      <c r="BK294" s="107"/>
      <c r="BL294" s="107"/>
      <c r="BM294" s="107"/>
      <c r="BN294" s="107"/>
      <c r="BO294" s="107"/>
      <c r="BP294" s="107"/>
      <c r="BQ294" s="109"/>
      <c r="BR294" s="109"/>
      <c r="BS294" s="109"/>
      <c r="BT294" s="109"/>
      <c r="BU294" s="138"/>
    </row>
    <row r="295" spans="1:73" ht="35.25" customHeight="1" outlineLevel="2">
      <c r="A295" s="35" t="s">
        <v>1459</v>
      </c>
      <c r="B295" s="19" t="s">
        <v>1436</v>
      </c>
      <c r="C295" s="20" t="s">
        <v>1496</v>
      </c>
      <c r="D295" s="218" t="s">
        <v>187</v>
      </c>
      <c r="E295" s="246" t="s">
        <v>2815</v>
      </c>
      <c r="F295" s="108">
        <f t="shared" si="43"/>
        <v>445.4871</v>
      </c>
      <c r="G295" s="106">
        <f t="shared" si="48"/>
        <v>0</v>
      </c>
      <c r="H295" s="106">
        <f t="shared" si="49"/>
        <v>445.4871</v>
      </c>
      <c r="I295" s="107"/>
      <c r="J295" s="107"/>
      <c r="K295" s="107"/>
      <c r="L295" s="107"/>
      <c r="M295" s="107"/>
      <c r="N295" s="107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7"/>
      <c r="Z295" s="107"/>
      <c r="AA295" s="106"/>
      <c r="AB295" s="106"/>
      <c r="AC295" s="107"/>
      <c r="AD295" s="107"/>
      <c r="AE295" s="107"/>
      <c r="AF295" s="107"/>
      <c r="AG295" s="107"/>
      <c r="AH295" s="107"/>
      <c r="AI295" s="107"/>
      <c r="AJ295" s="108">
        <v>0</v>
      </c>
      <c r="AK295" s="107"/>
      <c r="AL295" s="107"/>
      <c r="AM295" s="107"/>
      <c r="AN295" s="107">
        <v>25.0161</v>
      </c>
      <c r="AO295" s="107"/>
      <c r="AP295" s="107"/>
      <c r="AQ295" s="107"/>
      <c r="AR295" s="107"/>
      <c r="AS295" s="107"/>
      <c r="AT295" s="107"/>
      <c r="AU295" s="107"/>
      <c r="AV295" s="107"/>
      <c r="AW295" s="107"/>
      <c r="AX295" s="107"/>
      <c r="AY295" s="106"/>
      <c r="AZ295" s="107">
        <v>420.471</v>
      </c>
      <c r="BA295" s="107"/>
      <c r="BB295" s="107"/>
      <c r="BC295" s="107"/>
      <c r="BD295" s="107"/>
      <c r="BE295" s="107"/>
      <c r="BF295" s="107"/>
      <c r="BG295" s="107"/>
      <c r="BH295" s="107"/>
      <c r="BI295" s="107"/>
      <c r="BJ295" s="107"/>
      <c r="BK295" s="107"/>
      <c r="BL295" s="107"/>
      <c r="BM295" s="107"/>
      <c r="BN295" s="107"/>
      <c r="BO295" s="107"/>
      <c r="BP295" s="107"/>
      <c r="BQ295" s="109"/>
      <c r="BR295" s="109"/>
      <c r="BS295" s="109"/>
      <c r="BT295" s="109"/>
      <c r="BU295" s="138"/>
    </row>
    <row r="296" spans="1:73" ht="47.25" customHeight="1" outlineLevel="2">
      <c r="A296" s="35" t="s">
        <v>1459</v>
      </c>
      <c r="B296" s="19" t="s">
        <v>1401</v>
      </c>
      <c r="C296" s="20" t="s">
        <v>1496</v>
      </c>
      <c r="D296" s="239">
        <v>2411020818</v>
      </c>
      <c r="E296" s="203" t="s">
        <v>2112</v>
      </c>
      <c r="F296" s="108">
        <f t="shared" si="43"/>
        <v>15.89407</v>
      </c>
      <c r="G296" s="106">
        <f t="shared" si="48"/>
        <v>8.02483</v>
      </c>
      <c r="H296" s="106">
        <f t="shared" si="49"/>
        <v>7.86924</v>
      </c>
      <c r="I296" s="107"/>
      <c r="J296" s="107"/>
      <c r="K296" s="107"/>
      <c r="L296" s="107"/>
      <c r="M296" s="107"/>
      <c r="N296" s="107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7"/>
      <c r="Z296" s="107"/>
      <c r="AA296" s="106"/>
      <c r="AB296" s="106"/>
      <c r="AC296" s="107"/>
      <c r="AD296" s="107"/>
      <c r="AE296" s="107"/>
      <c r="AF296" s="107"/>
      <c r="AG296" s="107"/>
      <c r="AH296" s="107"/>
      <c r="AI296" s="107"/>
      <c r="AJ296" s="108">
        <v>0</v>
      </c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7"/>
      <c r="AV296" s="107"/>
      <c r="AW296" s="107"/>
      <c r="AX296" s="107"/>
      <c r="AY296" s="106"/>
      <c r="AZ296" s="107"/>
      <c r="BA296" s="107"/>
      <c r="BB296" s="107"/>
      <c r="BC296" s="107">
        <v>8.02483</v>
      </c>
      <c r="BD296" s="107">
        <v>7.86924</v>
      </c>
      <c r="BE296" s="107"/>
      <c r="BF296" s="107"/>
      <c r="BG296" s="107"/>
      <c r="BH296" s="107"/>
      <c r="BI296" s="107"/>
      <c r="BJ296" s="107"/>
      <c r="BK296" s="107"/>
      <c r="BL296" s="107"/>
      <c r="BM296" s="107"/>
      <c r="BN296" s="107"/>
      <c r="BO296" s="107"/>
      <c r="BP296" s="107"/>
      <c r="BQ296" s="109"/>
      <c r="BR296" s="109"/>
      <c r="BS296" s="109"/>
      <c r="BT296" s="109"/>
      <c r="BU296" s="138"/>
    </row>
    <row r="297" spans="1:73" ht="38.25" customHeight="1" outlineLevel="2">
      <c r="A297" s="35" t="s">
        <v>1459</v>
      </c>
      <c r="B297" s="19" t="s">
        <v>835</v>
      </c>
      <c r="C297" s="20" t="s">
        <v>1496</v>
      </c>
      <c r="D297" s="218" t="s">
        <v>836</v>
      </c>
      <c r="E297" s="203" t="s">
        <v>2114</v>
      </c>
      <c r="F297" s="108">
        <f t="shared" si="43"/>
        <v>5682.8668</v>
      </c>
      <c r="G297" s="106">
        <f t="shared" si="48"/>
        <v>1090.07473</v>
      </c>
      <c r="H297" s="106">
        <f t="shared" si="49"/>
        <v>4592.7920699999995</v>
      </c>
      <c r="I297" s="107"/>
      <c r="J297" s="107"/>
      <c r="K297" s="107"/>
      <c r="L297" s="107"/>
      <c r="M297" s="107"/>
      <c r="N297" s="107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7"/>
      <c r="Z297" s="107"/>
      <c r="AA297" s="159">
        <v>410.70385</v>
      </c>
      <c r="AB297" s="106">
        <v>158.45847</v>
      </c>
      <c r="AC297" s="107"/>
      <c r="AD297" s="107"/>
      <c r="AE297" s="107"/>
      <c r="AF297" s="107"/>
      <c r="AG297" s="107"/>
      <c r="AH297" s="107"/>
      <c r="AI297" s="107"/>
      <c r="AJ297" s="108">
        <v>0</v>
      </c>
      <c r="AK297" s="107"/>
      <c r="AL297" s="107"/>
      <c r="AM297" s="107"/>
      <c r="AN297" s="107">
        <v>554.59607</v>
      </c>
      <c r="AO297" s="107">
        <v>331.954</v>
      </c>
      <c r="AP297" s="107">
        <v>72.8</v>
      </c>
      <c r="AQ297" s="107">
        <v>3466.25</v>
      </c>
      <c r="AR297" s="107"/>
      <c r="AS297" s="107"/>
      <c r="AT297" s="107"/>
      <c r="AU297" s="107"/>
      <c r="AV297" s="107"/>
      <c r="AW297" s="107"/>
      <c r="AX297" s="107"/>
      <c r="AY297" s="106"/>
      <c r="AZ297" s="107"/>
      <c r="BA297" s="107"/>
      <c r="BB297" s="107"/>
      <c r="BC297" s="107">
        <v>347.41688</v>
      </c>
      <c r="BD297" s="107">
        <v>340.68753</v>
      </c>
      <c r="BE297" s="107"/>
      <c r="BF297" s="107"/>
      <c r="BG297" s="107"/>
      <c r="BH297" s="107"/>
      <c r="BI297" s="107"/>
      <c r="BJ297" s="107"/>
      <c r="BK297" s="107"/>
      <c r="BL297" s="107"/>
      <c r="BM297" s="107"/>
      <c r="BN297" s="107"/>
      <c r="BO297" s="107"/>
      <c r="BP297" s="107"/>
      <c r="BQ297" s="109"/>
      <c r="BR297" s="109"/>
      <c r="BS297" s="109"/>
      <c r="BT297" s="109"/>
      <c r="BU297" s="138"/>
    </row>
    <row r="298" spans="1:73" ht="40.5" customHeight="1" outlineLevel="2">
      <c r="A298" s="35" t="s">
        <v>1459</v>
      </c>
      <c r="B298" s="19" t="s">
        <v>1242</v>
      </c>
      <c r="C298" s="20" t="s">
        <v>1496</v>
      </c>
      <c r="D298" s="218">
        <v>2411000498</v>
      </c>
      <c r="E298" s="203" t="s">
        <v>2115</v>
      </c>
      <c r="F298" s="108">
        <f aca="true" t="shared" si="50" ref="F298:F344">G298+H298</f>
        <v>2533.9529</v>
      </c>
      <c r="G298" s="106">
        <f t="shared" si="48"/>
        <v>724.80954</v>
      </c>
      <c r="H298" s="106">
        <f t="shared" si="49"/>
        <v>1809.14336</v>
      </c>
      <c r="I298" s="107"/>
      <c r="J298" s="107"/>
      <c r="K298" s="107"/>
      <c r="L298" s="107"/>
      <c r="M298" s="107"/>
      <c r="N298" s="107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7">
        <v>44.30439</v>
      </c>
      <c r="Z298" s="107">
        <v>99.24</v>
      </c>
      <c r="AA298" s="159"/>
      <c r="AB298" s="106"/>
      <c r="AC298" s="107"/>
      <c r="AD298" s="107"/>
      <c r="AE298" s="107"/>
      <c r="AF298" s="107"/>
      <c r="AG298" s="107"/>
      <c r="AH298" s="107"/>
      <c r="AI298" s="107"/>
      <c r="AJ298" s="108">
        <v>22.03668</v>
      </c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7"/>
      <c r="AV298" s="107"/>
      <c r="AW298" s="107"/>
      <c r="AX298" s="107"/>
      <c r="AY298" s="106">
        <v>330.4049</v>
      </c>
      <c r="AZ298" s="107"/>
      <c r="BA298" s="107"/>
      <c r="BB298" s="107"/>
      <c r="BC298" s="107">
        <v>680.50515</v>
      </c>
      <c r="BD298" s="107">
        <v>672.08042</v>
      </c>
      <c r="BE298" s="107"/>
      <c r="BF298" s="107"/>
      <c r="BG298" s="107"/>
      <c r="BH298" s="107"/>
      <c r="BI298" s="107"/>
      <c r="BJ298" s="107">
        <v>685.38136</v>
      </c>
      <c r="BK298" s="107"/>
      <c r="BL298" s="107"/>
      <c r="BM298" s="107"/>
      <c r="BN298" s="107"/>
      <c r="BO298" s="107"/>
      <c r="BP298" s="107"/>
      <c r="BQ298" s="109"/>
      <c r="BR298" s="109"/>
      <c r="BS298" s="109"/>
      <c r="BT298" s="109"/>
      <c r="BU298" s="138"/>
    </row>
    <row r="299" spans="1:73" ht="38.25" customHeight="1" outlineLevel="2">
      <c r="A299" s="35" t="s">
        <v>1459</v>
      </c>
      <c r="B299" s="19" t="s">
        <v>1400</v>
      </c>
      <c r="C299" s="20" t="s">
        <v>1496</v>
      </c>
      <c r="D299" s="239">
        <v>2460228720</v>
      </c>
      <c r="E299" s="203" t="s">
        <v>2771</v>
      </c>
      <c r="F299" s="108">
        <f t="shared" si="50"/>
        <v>91.50032999999999</v>
      </c>
      <c r="G299" s="106">
        <f t="shared" si="48"/>
        <v>46.19676</v>
      </c>
      <c r="H299" s="106">
        <f t="shared" si="49"/>
        <v>45.30357</v>
      </c>
      <c r="I299" s="107"/>
      <c r="J299" s="107"/>
      <c r="K299" s="107"/>
      <c r="L299" s="107"/>
      <c r="M299" s="107"/>
      <c r="N299" s="107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7"/>
      <c r="Z299" s="107"/>
      <c r="AA299" s="106"/>
      <c r="AB299" s="106"/>
      <c r="AC299" s="107"/>
      <c r="AD299" s="107"/>
      <c r="AE299" s="107"/>
      <c r="AF299" s="107"/>
      <c r="AG299" s="107"/>
      <c r="AH299" s="107"/>
      <c r="AI299" s="107"/>
      <c r="AJ299" s="108">
        <v>0</v>
      </c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7"/>
      <c r="AV299" s="107"/>
      <c r="AW299" s="107"/>
      <c r="AX299" s="107"/>
      <c r="AY299" s="106"/>
      <c r="AZ299" s="107"/>
      <c r="BA299" s="107"/>
      <c r="BB299" s="107"/>
      <c r="BC299" s="107">
        <v>46.19676</v>
      </c>
      <c r="BD299" s="107">
        <v>45.30357</v>
      </c>
      <c r="BE299" s="107"/>
      <c r="BF299" s="107"/>
      <c r="BG299" s="107"/>
      <c r="BH299" s="107"/>
      <c r="BI299" s="107"/>
      <c r="BJ299" s="107"/>
      <c r="BK299" s="107"/>
      <c r="BL299" s="107"/>
      <c r="BM299" s="107"/>
      <c r="BN299" s="107"/>
      <c r="BO299" s="107"/>
      <c r="BP299" s="107"/>
      <c r="BQ299" s="109"/>
      <c r="BR299" s="109"/>
      <c r="BS299" s="109"/>
      <c r="BT299" s="109"/>
      <c r="BU299" s="138"/>
    </row>
    <row r="300" spans="1:73" ht="38.25" customHeight="1" outlineLevel="2">
      <c r="A300" s="35" t="s">
        <v>1459</v>
      </c>
      <c r="B300" s="37" t="s">
        <v>796</v>
      </c>
      <c r="C300" s="20" t="s">
        <v>587</v>
      </c>
      <c r="D300" s="239">
        <v>242400176324</v>
      </c>
      <c r="E300" s="242" t="s">
        <v>2116</v>
      </c>
      <c r="F300" s="108">
        <f t="shared" si="50"/>
        <v>113.51589</v>
      </c>
      <c r="G300" s="106">
        <f t="shared" si="48"/>
        <v>57.30549</v>
      </c>
      <c r="H300" s="106">
        <f t="shared" si="49"/>
        <v>56.2104</v>
      </c>
      <c r="I300" s="107"/>
      <c r="J300" s="107"/>
      <c r="K300" s="107"/>
      <c r="L300" s="107"/>
      <c r="M300" s="107"/>
      <c r="N300" s="107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7"/>
      <c r="Z300" s="107"/>
      <c r="AA300" s="106"/>
      <c r="AB300" s="106"/>
      <c r="AC300" s="107"/>
      <c r="AD300" s="107"/>
      <c r="AE300" s="107"/>
      <c r="AF300" s="107"/>
      <c r="AG300" s="107"/>
      <c r="AH300" s="107"/>
      <c r="AI300" s="107"/>
      <c r="AJ300" s="108">
        <v>0</v>
      </c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7"/>
      <c r="AV300" s="107"/>
      <c r="AW300" s="107"/>
      <c r="AX300" s="107"/>
      <c r="AY300" s="106"/>
      <c r="AZ300" s="107"/>
      <c r="BA300" s="107"/>
      <c r="BB300" s="107"/>
      <c r="BC300" s="107">
        <v>57.30549</v>
      </c>
      <c r="BD300" s="107">
        <v>56.2104</v>
      </c>
      <c r="BE300" s="107"/>
      <c r="BF300" s="107"/>
      <c r="BG300" s="107"/>
      <c r="BH300" s="107"/>
      <c r="BI300" s="107"/>
      <c r="BJ300" s="107"/>
      <c r="BK300" s="107"/>
      <c r="BL300" s="107"/>
      <c r="BM300" s="107"/>
      <c r="BN300" s="107"/>
      <c r="BO300" s="107"/>
      <c r="BP300" s="107"/>
      <c r="BQ300" s="109"/>
      <c r="BR300" s="109"/>
      <c r="BS300" s="109"/>
      <c r="BT300" s="109"/>
      <c r="BU300" s="138"/>
    </row>
    <row r="301" spans="1:73" ht="38.25" customHeight="1" outlineLevel="2">
      <c r="A301" s="35" t="s">
        <v>1459</v>
      </c>
      <c r="B301" s="37" t="s">
        <v>1781</v>
      </c>
      <c r="C301" s="20" t="s">
        <v>587</v>
      </c>
      <c r="D301" s="239">
        <v>241103472840</v>
      </c>
      <c r="E301" s="242" t="s">
        <v>2117</v>
      </c>
      <c r="F301" s="108">
        <f t="shared" si="50"/>
        <v>1705.6680000000001</v>
      </c>
      <c r="G301" s="106">
        <f t="shared" si="48"/>
        <v>0</v>
      </c>
      <c r="H301" s="106">
        <f t="shared" si="49"/>
        <v>1705.6680000000001</v>
      </c>
      <c r="I301" s="107"/>
      <c r="J301" s="107"/>
      <c r="K301" s="107"/>
      <c r="L301" s="107"/>
      <c r="M301" s="107"/>
      <c r="N301" s="107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7"/>
      <c r="Z301" s="107"/>
      <c r="AA301" s="106"/>
      <c r="AB301" s="106"/>
      <c r="AC301" s="107"/>
      <c r="AD301" s="107"/>
      <c r="AE301" s="107"/>
      <c r="AF301" s="107"/>
      <c r="AG301" s="107"/>
      <c r="AH301" s="107"/>
      <c r="AI301" s="107"/>
      <c r="AJ301" s="108">
        <v>0</v>
      </c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7"/>
      <c r="AV301" s="107"/>
      <c r="AW301" s="107"/>
      <c r="AX301" s="107"/>
      <c r="AY301" s="106"/>
      <c r="AZ301" s="107"/>
      <c r="BA301" s="107"/>
      <c r="BB301" s="107"/>
      <c r="BC301" s="107"/>
      <c r="BD301" s="107"/>
      <c r="BE301" s="107"/>
      <c r="BF301" s="107"/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107"/>
      <c r="BQ301" s="109">
        <v>205.668</v>
      </c>
      <c r="BR301" s="109"/>
      <c r="BS301" s="109">
        <v>1500</v>
      </c>
      <c r="BT301" s="109"/>
      <c r="BU301" s="138"/>
    </row>
    <row r="302" spans="1:73" ht="38.25" customHeight="1" outlineLevel="2">
      <c r="A302" s="35" t="s">
        <v>1459</v>
      </c>
      <c r="B302" s="37" t="s">
        <v>812</v>
      </c>
      <c r="C302" s="20" t="s">
        <v>587</v>
      </c>
      <c r="D302" s="239">
        <v>246507523507</v>
      </c>
      <c r="E302" s="242" t="s">
        <v>2118</v>
      </c>
      <c r="F302" s="108">
        <f t="shared" si="50"/>
        <v>2000</v>
      </c>
      <c r="G302" s="106">
        <f t="shared" si="48"/>
        <v>0</v>
      </c>
      <c r="H302" s="106">
        <f t="shared" si="49"/>
        <v>2000</v>
      </c>
      <c r="I302" s="107"/>
      <c r="J302" s="107"/>
      <c r="K302" s="107"/>
      <c r="L302" s="107"/>
      <c r="M302" s="107"/>
      <c r="N302" s="107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7"/>
      <c r="Z302" s="107"/>
      <c r="AA302" s="106"/>
      <c r="AB302" s="106"/>
      <c r="AC302" s="107"/>
      <c r="AD302" s="107"/>
      <c r="AE302" s="107"/>
      <c r="AF302" s="107"/>
      <c r="AG302" s="107"/>
      <c r="AH302" s="107"/>
      <c r="AI302" s="107"/>
      <c r="AJ302" s="108">
        <v>0</v>
      </c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7"/>
      <c r="AV302" s="107"/>
      <c r="AW302" s="107"/>
      <c r="AX302" s="107"/>
      <c r="AY302" s="106"/>
      <c r="AZ302" s="107"/>
      <c r="BA302" s="107"/>
      <c r="BB302" s="107"/>
      <c r="BC302" s="107"/>
      <c r="BD302" s="107"/>
      <c r="BE302" s="107"/>
      <c r="BF302" s="107"/>
      <c r="BG302" s="107"/>
      <c r="BH302" s="107"/>
      <c r="BI302" s="107"/>
      <c r="BJ302" s="107"/>
      <c r="BK302" s="107"/>
      <c r="BL302" s="107"/>
      <c r="BM302" s="107"/>
      <c r="BN302" s="107"/>
      <c r="BO302" s="107">
        <v>2000</v>
      </c>
      <c r="BP302" s="107"/>
      <c r="BQ302" s="109"/>
      <c r="BR302" s="109"/>
      <c r="BS302" s="109"/>
      <c r="BT302" s="109"/>
      <c r="BU302" s="138"/>
    </row>
    <row r="303" spans="1:73" ht="38.25" customHeight="1" outlineLevel="2">
      <c r="A303" s="35" t="s">
        <v>1459</v>
      </c>
      <c r="B303" s="37" t="s">
        <v>1844</v>
      </c>
      <c r="C303" s="74" t="s">
        <v>587</v>
      </c>
      <c r="D303" s="247">
        <v>241103556480</v>
      </c>
      <c r="E303" s="248" t="s">
        <v>2119</v>
      </c>
      <c r="F303" s="108">
        <f t="shared" si="50"/>
        <v>89.54346</v>
      </c>
      <c r="G303" s="106">
        <f t="shared" si="48"/>
        <v>33.61896</v>
      </c>
      <c r="H303" s="106">
        <f t="shared" si="49"/>
        <v>55.924499999999995</v>
      </c>
      <c r="I303" s="107"/>
      <c r="J303" s="107"/>
      <c r="K303" s="107"/>
      <c r="L303" s="107"/>
      <c r="M303" s="107"/>
      <c r="N303" s="107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7"/>
      <c r="Z303" s="107"/>
      <c r="AA303" s="106">
        <v>5.95338</v>
      </c>
      <c r="AB303" s="106">
        <v>3.96146</v>
      </c>
      <c r="AC303" s="107"/>
      <c r="AD303" s="107"/>
      <c r="AE303" s="107"/>
      <c r="AF303" s="107"/>
      <c r="AG303" s="107">
        <v>3.4278</v>
      </c>
      <c r="AH303" s="107"/>
      <c r="AI303" s="107"/>
      <c r="AJ303" s="108">
        <v>0</v>
      </c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7"/>
      <c r="AV303" s="107"/>
      <c r="AW303" s="107"/>
      <c r="AX303" s="107"/>
      <c r="AY303" s="106">
        <v>21.40507</v>
      </c>
      <c r="AZ303" s="107"/>
      <c r="BA303" s="107"/>
      <c r="BB303" s="107"/>
      <c r="BC303" s="107">
        <v>27.66558</v>
      </c>
      <c r="BD303" s="107">
        <v>27.13017</v>
      </c>
      <c r="BE303" s="107"/>
      <c r="BF303" s="107"/>
      <c r="BG303" s="107"/>
      <c r="BH303" s="107"/>
      <c r="BI303" s="107"/>
      <c r="BJ303" s="107"/>
      <c r="BK303" s="107"/>
      <c r="BL303" s="107"/>
      <c r="BM303" s="107"/>
      <c r="BN303" s="107"/>
      <c r="BO303" s="107"/>
      <c r="BP303" s="107"/>
      <c r="BQ303" s="109"/>
      <c r="BR303" s="109"/>
      <c r="BS303" s="109"/>
      <c r="BT303" s="109"/>
      <c r="BU303" s="138"/>
    </row>
    <row r="304" spans="1:73" ht="38.25" customHeight="1" outlineLevel="2">
      <c r="A304" s="35" t="s">
        <v>1459</v>
      </c>
      <c r="B304" s="37" t="s">
        <v>1402</v>
      </c>
      <c r="C304" s="74" t="s">
        <v>587</v>
      </c>
      <c r="D304" s="249" t="s">
        <v>757</v>
      </c>
      <c r="E304" s="250" t="s">
        <v>2120</v>
      </c>
      <c r="F304" s="108">
        <f t="shared" si="50"/>
        <v>4393.653420000001</v>
      </c>
      <c r="G304" s="106">
        <f t="shared" si="48"/>
        <v>1134.9458300000001</v>
      </c>
      <c r="H304" s="106">
        <f t="shared" si="49"/>
        <v>3258.70759</v>
      </c>
      <c r="I304" s="107"/>
      <c r="J304" s="107"/>
      <c r="K304" s="107"/>
      <c r="L304" s="107"/>
      <c r="M304" s="107"/>
      <c r="N304" s="107"/>
      <c r="O304" s="106">
        <f>50.65533+158.7335</f>
        <v>209.38882999999998</v>
      </c>
      <c r="P304" s="106">
        <f>2.31088+70.20977</f>
        <v>72.52065</v>
      </c>
      <c r="Q304" s="106">
        <v>267.22047</v>
      </c>
      <c r="R304" s="106"/>
      <c r="S304" s="106"/>
      <c r="T304" s="106"/>
      <c r="U304" s="106"/>
      <c r="V304" s="106"/>
      <c r="W304" s="106"/>
      <c r="X304" s="106"/>
      <c r="Y304" s="107">
        <v>281.2</v>
      </c>
      <c r="Z304" s="107">
        <v>738.705</v>
      </c>
      <c r="AA304" s="159">
        <v>255.26506</v>
      </c>
      <c r="AB304" s="106">
        <v>110.92093</v>
      </c>
      <c r="AC304" s="107"/>
      <c r="AD304" s="107"/>
      <c r="AE304" s="107"/>
      <c r="AF304" s="107"/>
      <c r="AG304" s="107"/>
      <c r="AH304" s="107"/>
      <c r="AI304" s="107"/>
      <c r="AJ304" s="108">
        <v>89.76576</v>
      </c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7"/>
      <c r="AV304" s="107"/>
      <c r="AW304" s="107"/>
      <c r="AX304" s="107"/>
      <c r="AY304" s="106"/>
      <c r="AZ304" s="107"/>
      <c r="BA304" s="107">
        <v>730.84243</v>
      </c>
      <c r="BB304" s="107"/>
      <c r="BC304" s="107">
        <v>389.09194</v>
      </c>
      <c r="BD304" s="107">
        <v>381.56668</v>
      </c>
      <c r="BE304" s="107"/>
      <c r="BF304" s="107"/>
      <c r="BG304" s="107"/>
      <c r="BH304" s="107"/>
      <c r="BI304" s="107"/>
      <c r="BJ304" s="107"/>
      <c r="BK304" s="107"/>
      <c r="BL304" s="107"/>
      <c r="BM304" s="107">
        <v>867.16567</v>
      </c>
      <c r="BN304" s="107"/>
      <c r="BO304" s="107"/>
      <c r="BP304" s="107"/>
      <c r="BQ304" s="109"/>
      <c r="BR304" s="109"/>
      <c r="BS304" s="109"/>
      <c r="BT304" s="109"/>
      <c r="BU304" s="138"/>
    </row>
    <row r="305" spans="1:73" ht="24" customHeight="1" outlineLevel="2">
      <c r="A305" s="35" t="s">
        <v>1459</v>
      </c>
      <c r="B305" s="19" t="s">
        <v>368</v>
      </c>
      <c r="C305" s="74" t="s">
        <v>587</v>
      </c>
      <c r="D305" s="249" t="s">
        <v>1546</v>
      </c>
      <c r="E305" s="250" t="s">
        <v>2121</v>
      </c>
      <c r="F305" s="108">
        <f t="shared" si="50"/>
        <v>154.74285</v>
      </c>
      <c r="G305" s="106">
        <f t="shared" si="48"/>
        <v>147.89997</v>
      </c>
      <c r="H305" s="106">
        <f t="shared" si="49"/>
        <v>6.84288</v>
      </c>
      <c r="I305" s="107"/>
      <c r="J305" s="107"/>
      <c r="K305" s="107"/>
      <c r="L305" s="107"/>
      <c r="M305" s="107"/>
      <c r="N305" s="107"/>
      <c r="O305" s="106">
        <v>147.89997</v>
      </c>
      <c r="P305" s="106">
        <v>6.84288</v>
      </c>
      <c r="Q305" s="106"/>
      <c r="R305" s="106"/>
      <c r="S305" s="106"/>
      <c r="T305" s="106"/>
      <c r="U305" s="106"/>
      <c r="V305" s="106"/>
      <c r="W305" s="106"/>
      <c r="X305" s="106"/>
      <c r="Y305" s="107"/>
      <c r="Z305" s="107"/>
      <c r="AA305" s="106"/>
      <c r="AB305" s="106"/>
      <c r="AC305" s="107"/>
      <c r="AD305" s="107"/>
      <c r="AE305" s="107"/>
      <c r="AF305" s="107"/>
      <c r="AG305" s="107"/>
      <c r="AH305" s="107"/>
      <c r="AI305" s="107"/>
      <c r="AJ305" s="108">
        <v>0</v>
      </c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7"/>
      <c r="AV305" s="107"/>
      <c r="AW305" s="107"/>
      <c r="AX305" s="107"/>
      <c r="AY305" s="106"/>
      <c r="AZ305" s="107"/>
      <c r="BA305" s="107"/>
      <c r="BB305" s="107"/>
      <c r="BC305" s="107"/>
      <c r="BD305" s="107"/>
      <c r="BE305" s="107"/>
      <c r="BF305" s="107"/>
      <c r="BG305" s="107"/>
      <c r="BH305" s="107"/>
      <c r="BI305" s="107"/>
      <c r="BJ305" s="107"/>
      <c r="BK305" s="107"/>
      <c r="BL305" s="107"/>
      <c r="BM305" s="107"/>
      <c r="BN305" s="107"/>
      <c r="BO305" s="107"/>
      <c r="BP305" s="107"/>
      <c r="BQ305" s="109"/>
      <c r="BR305" s="109"/>
      <c r="BS305" s="109"/>
      <c r="BT305" s="109"/>
      <c r="BU305" s="138"/>
    </row>
    <row r="306" spans="1:73" ht="24" customHeight="1" outlineLevel="2">
      <c r="A306" s="35" t="s">
        <v>1459</v>
      </c>
      <c r="B306" s="19" t="s">
        <v>502</v>
      </c>
      <c r="C306" s="20" t="s">
        <v>587</v>
      </c>
      <c r="D306" s="218"/>
      <c r="E306" s="220" t="s">
        <v>2122</v>
      </c>
      <c r="F306" s="108">
        <f t="shared" si="50"/>
        <v>993.5523800000001</v>
      </c>
      <c r="G306" s="106">
        <f t="shared" si="48"/>
        <v>0</v>
      </c>
      <c r="H306" s="106">
        <f t="shared" si="49"/>
        <v>993.5523800000001</v>
      </c>
      <c r="I306" s="107"/>
      <c r="J306" s="107"/>
      <c r="K306" s="107"/>
      <c r="L306" s="107"/>
      <c r="M306" s="107">
        <v>136.80009</v>
      </c>
      <c r="N306" s="107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7"/>
      <c r="Z306" s="107"/>
      <c r="AA306" s="106"/>
      <c r="AB306" s="106"/>
      <c r="AC306" s="107"/>
      <c r="AD306" s="107"/>
      <c r="AE306" s="107"/>
      <c r="AF306" s="107"/>
      <c r="AG306" s="107"/>
      <c r="AH306" s="107"/>
      <c r="AI306" s="107"/>
      <c r="AJ306" s="108">
        <v>0</v>
      </c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7"/>
      <c r="AV306" s="107"/>
      <c r="AW306" s="107"/>
      <c r="AX306" s="107"/>
      <c r="AY306" s="106"/>
      <c r="AZ306" s="107"/>
      <c r="BA306" s="107"/>
      <c r="BB306" s="107"/>
      <c r="BC306" s="107"/>
      <c r="BD306" s="107"/>
      <c r="BE306" s="107"/>
      <c r="BF306" s="107"/>
      <c r="BG306" s="107"/>
      <c r="BH306" s="107"/>
      <c r="BI306" s="107"/>
      <c r="BJ306" s="107">
        <v>12.45425</v>
      </c>
      <c r="BK306" s="107"/>
      <c r="BL306" s="107"/>
      <c r="BM306" s="107">
        <v>844.29804</v>
      </c>
      <c r="BN306" s="107"/>
      <c r="BO306" s="107"/>
      <c r="BP306" s="107"/>
      <c r="BQ306" s="109"/>
      <c r="BR306" s="109"/>
      <c r="BS306" s="109"/>
      <c r="BT306" s="109"/>
      <c r="BU306" s="138"/>
    </row>
    <row r="307" spans="1:73" ht="24" customHeight="1" outlineLevel="2">
      <c r="A307" s="35" t="s">
        <v>1459</v>
      </c>
      <c r="B307" s="19" t="s">
        <v>1234</v>
      </c>
      <c r="C307" s="20" t="s">
        <v>587</v>
      </c>
      <c r="D307" s="218" t="s">
        <v>828</v>
      </c>
      <c r="E307" s="220" t="s">
        <v>2123</v>
      </c>
      <c r="F307" s="108">
        <f t="shared" si="50"/>
        <v>221.7293</v>
      </c>
      <c r="G307" s="106">
        <f t="shared" si="48"/>
        <v>24.44284</v>
      </c>
      <c r="H307" s="106">
        <f t="shared" si="49"/>
        <v>197.28646</v>
      </c>
      <c r="I307" s="107"/>
      <c r="J307" s="107"/>
      <c r="K307" s="107"/>
      <c r="L307" s="107"/>
      <c r="M307" s="107"/>
      <c r="N307" s="107"/>
      <c r="O307" s="106">
        <v>24.44284</v>
      </c>
      <c r="P307" s="106">
        <v>1.28646</v>
      </c>
      <c r="Q307" s="106"/>
      <c r="R307" s="106"/>
      <c r="S307" s="106"/>
      <c r="T307" s="106"/>
      <c r="U307" s="106"/>
      <c r="V307" s="106"/>
      <c r="W307" s="106"/>
      <c r="X307" s="106"/>
      <c r="Y307" s="107"/>
      <c r="Z307" s="107"/>
      <c r="AA307" s="106"/>
      <c r="AB307" s="106"/>
      <c r="AC307" s="107"/>
      <c r="AD307" s="107"/>
      <c r="AE307" s="107"/>
      <c r="AF307" s="107"/>
      <c r="AG307" s="107"/>
      <c r="AH307" s="107"/>
      <c r="AI307" s="107"/>
      <c r="AJ307" s="108">
        <v>0</v>
      </c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7"/>
      <c r="AV307" s="107"/>
      <c r="AW307" s="107"/>
      <c r="AX307" s="107"/>
      <c r="AY307" s="106"/>
      <c r="AZ307" s="107"/>
      <c r="BA307" s="107">
        <v>196</v>
      </c>
      <c r="BB307" s="107"/>
      <c r="BC307" s="107"/>
      <c r="BD307" s="107"/>
      <c r="BE307" s="107"/>
      <c r="BF307" s="107"/>
      <c r="BG307" s="107"/>
      <c r="BH307" s="107"/>
      <c r="BI307" s="107"/>
      <c r="BJ307" s="107"/>
      <c r="BK307" s="107"/>
      <c r="BL307" s="107"/>
      <c r="BM307" s="107"/>
      <c r="BN307" s="107"/>
      <c r="BO307" s="107"/>
      <c r="BP307" s="107"/>
      <c r="BQ307" s="109"/>
      <c r="BR307" s="109"/>
      <c r="BS307" s="109"/>
      <c r="BT307" s="109"/>
      <c r="BU307" s="138"/>
    </row>
    <row r="308" spans="1:73" ht="38.25" customHeight="1" outlineLevel="2">
      <c r="A308" s="35" t="s">
        <v>1459</v>
      </c>
      <c r="B308" s="19" t="s">
        <v>1403</v>
      </c>
      <c r="C308" s="78" t="s">
        <v>587</v>
      </c>
      <c r="D308" s="218" t="s">
        <v>1128</v>
      </c>
      <c r="E308" s="220" t="s">
        <v>2124</v>
      </c>
      <c r="F308" s="108">
        <f t="shared" si="50"/>
        <v>46.28107</v>
      </c>
      <c r="G308" s="106">
        <f t="shared" si="48"/>
        <v>21.63583</v>
      </c>
      <c r="H308" s="106">
        <f t="shared" si="49"/>
        <v>24.64524</v>
      </c>
      <c r="I308" s="107"/>
      <c r="J308" s="107"/>
      <c r="K308" s="107"/>
      <c r="L308" s="107"/>
      <c r="M308" s="107"/>
      <c r="N308" s="107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7"/>
      <c r="Z308" s="107"/>
      <c r="AA308" s="106"/>
      <c r="AB308" s="106"/>
      <c r="AC308" s="107"/>
      <c r="AD308" s="107"/>
      <c r="AE308" s="107"/>
      <c r="AF308" s="107"/>
      <c r="AG308" s="107">
        <v>3.4278</v>
      </c>
      <c r="AH308" s="107"/>
      <c r="AI308" s="107"/>
      <c r="AJ308" s="108">
        <v>0</v>
      </c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7"/>
      <c r="AV308" s="107"/>
      <c r="AW308" s="107"/>
      <c r="AX308" s="107"/>
      <c r="AY308" s="106"/>
      <c r="AZ308" s="107"/>
      <c r="BA308" s="107"/>
      <c r="BB308" s="107"/>
      <c r="BC308" s="107">
        <v>21.63583</v>
      </c>
      <c r="BD308" s="107">
        <v>21.21744</v>
      </c>
      <c r="BE308" s="107"/>
      <c r="BF308" s="107"/>
      <c r="BG308" s="107"/>
      <c r="BH308" s="107"/>
      <c r="BI308" s="107"/>
      <c r="BJ308" s="107"/>
      <c r="BK308" s="107"/>
      <c r="BL308" s="107"/>
      <c r="BM308" s="107"/>
      <c r="BN308" s="107"/>
      <c r="BO308" s="107"/>
      <c r="BP308" s="107"/>
      <c r="BQ308" s="109"/>
      <c r="BR308" s="109"/>
      <c r="BS308" s="109"/>
      <c r="BT308" s="109"/>
      <c r="BU308" s="138"/>
    </row>
    <row r="309" spans="1:73" ht="38.25" customHeight="1" outlineLevel="2">
      <c r="A309" s="35" t="s">
        <v>1459</v>
      </c>
      <c r="B309" s="19" t="s">
        <v>216</v>
      </c>
      <c r="C309" s="20" t="s">
        <v>587</v>
      </c>
      <c r="D309" s="218" t="s">
        <v>2136</v>
      </c>
      <c r="E309" s="220" t="s">
        <v>2125</v>
      </c>
      <c r="F309" s="108">
        <f t="shared" si="50"/>
        <v>513.5454</v>
      </c>
      <c r="G309" s="106">
        <f t="shared" si="48"/>
        <v>0</v>
      </c>
      <c r="H309" s="106">
        <f t="shared" si="49"/>
        <v>513.5454</v>
      </c>
      <c r="I309" s="107"/>
      <c r="J309" s="107"/>
      <c r="K309" s="107"/>
      <c r="L309" s="107"/>
      <c r="M309" s="107"/>
      <c r="N309" s="107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7"/>
      <c r="Z309" s="107"/>
      <c r="AA309" s="106"/>
      <c r="AB309" s="106"/>
      <c r="AC309" s="107"/>
      <c r="AD309" s="107"/>
      <c r="AE309" s="107"/>
      <c r="AF309" s="107"/>
      <c r="AG309" s="107"/>
      <c r="AH309" s="107"/>
      <c r="AI309" s="107"/>
      <c r="AJ309" s="108">
        <v>0</v>
      </c>
      <c r="AK309" s="107"/>
      <c r="AL309" s="107"/>
      <c r="AM309" s="107"/>
      <c r="AN309" s="107">
        <v>513.5454</v>
      </c>
      <c r="AO309" s="107"/>
      <c r="AP309" s="107"/>
      <c r="AQ309" s="107"/>
      <c r="AR309" s="107"/>
      <c r="AS309" s="107"/>
      <c r="AT309" s="107"/>
      <c r="AU309" s="107"/>
      <c r="AV309" s="107"/>
      <c r="AW309" s="107"/>
      <c r="AX309" s="107"/>
      <c r="AY309" s="106"/>
      <c r="AZ309" s="107"/>
      <c r="BA309" s="107"/>
      <c r="BB309" s="107"/>
      <c r="BC309" s="107"/>
      <c r="BD309" s="107"/>
      <c r="BE309" s="107"/>
      <c r="BF309" s="107"/>
      <c r="BG309" s="107"/>
      <c r="BH309" s="107"/>
      <c r="BI309" s="107"/>
      <c r="BJ309" s="107"/>
      <c r="BK309" s="107"/>
      <c r="BL309" s="107"/>
      <c r="BM309" s="107"/>
      <c r="BN309" s="107"/>
      <c r="BO309" s="107"/>
      <c r="BP309" s="107"/>
      <c r="BQ309" s="109"/>
      <c r="BR309" s="109"/>
      <c r="BS309" s="109"/>
      <c r="BT309" s="109"/>
      <c r="BU309" s="138"/>
    </row>
    <row r="310" spans="1:73" ht="38.25" customHeight="1" outlineLevel="2">
      <c r="A310" s="35" t="s">
        <v>1459</v>
      </c>
      <c r="B310" s="19" t="s">
        <v>302</v>
      </c>
      <c r="C310" s="20" t="s">
        <v>587</v>
      </c>
      <c r="D310" s="218" t="s">
        <v>2135</v>
      </c>
      <c r="E310" s="220" t="s">
        <v>2126</v>
      </c>
      <c r="F310" s="108">
        <f t="shared" si="50"/>
        <v>440.9702</v>
      </c>
      <c r="G310" s="106">
        <f t="shared" si="48"/>
        <v>0</v>
      </c>
      <c r="H310" s="106">
        <f t="shared" si="49"/>
        <v>440.9702</v>
      </c>
      <c r="I310" s="107"/>
      <c r="J310" s="107"/>
      <c r="K310" s="107"/>
      <c r="L310" s="107"/>
      <c r="M310" s="107"/>
      <c r="N310" s="107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7"/>
      <c r="Z310" s="107"/>
      <c r="AA310" s="106"/>
      <c r="AB310" s="106"/>
      <c r="AC310" s="107"/>
      <c r="AD310" s="107"/>
      <c r="AE310" s="107"/>
      <c r="AF310" s="107"/>
      <c r="AG310" s="107"/>
      <c r="AH310" s="107"/>
      <c r="AI310" s="107"/>
      <c r="AJ310" s="108">
        <v>0</v>
      </c>
      <c r="AK310" s="107"/>
      <c r="AL310" s="107"/>
      <c r="AM310" s="107"/>
      <c r="AN310" s="107">
        <v>198.1818</v>
      </c>
      <c r="AO310" s="107"/>
      <c r="AP310" s="107"/>
      <c r="AQ310" s="107"/>
      <c r="AR310" s="107"/>
      <c r="AS310" s="107"/>
      <c r="AT310" s="107"/>
      <c r="AU310" s="107"/>
      <c r="AV310" s="107"/>
      <c r="AW310" s="107"/>
      <c r="AX310" s="107"/>
      <c r="AY310" s="106"/>
      <c r="AZ310" s="107"/>
      <c r="BA310" s="107"/>
      <c r="BB310" s="107"/>
      <c r="BC310" s="107"/>
      <c r="BD310" s="107"/>
      <c r="BE310" s="107"/>
      <c r="BF310" s="107"/>
      <c r="BG310" s="107"/>
      <c r="BH310" s="107"/>
      <c r="BI310" s="107"/>
      <c r="BJ310" s="107"/>
      <c r="BK310" s="107"/>
      <c r="BL310" s="107"/>
      <c r="BM310" s="107">
        <v>242.7884</v>
      </c>
      <c r="BN310" s="107"/>
      <c r="BO310" s="107"/>
      <c r="BP310" s="107"/>
      <c r="BQ310" s="109"/>
      <c r="BR310" s="109"/>
      <c r="BS310" s="109"/>
      <c r="BT310" s="109"/>
      <c r="BU310" s="138"/>
    </row>
    <row r="311" spans="1:73" ht="38.25" customHeight="1" outlineLevel="2">
      <c r="A311" s="35" t="s">
        <v>1459</v>
      </c>
      <c r="B311" s="19" t="s">
        <v>208</v>
      </c>
      <c r="C311" s="20" t="s">
        <v>587</v>
      </c>
      <c r="D311" s="239">
        <v>246510819550</v>
      </c>
      <c r="E311" s="242" t="s">
        <v>2127</v>
      </c>
      <c r="F311" s="108">
        <f t="shared" si="50"/>
        <v>984.6742499999999</v>
      </c>
      <c r="G311" s="106">
        <f t="shared" si="48"/>
        <v>90.96525</v>
      </c>
      <c r="H311" s="106">
        <f t="shared" si="49"/>
        <v>893.709</v>
      </c>
      <c r="I311" s="107"/>
      <c r="J311" s="107"/>
      <c r="K311" s="107"/>
      <c r="L311" s="107"/>
      <c r="M311" s="107"/>
      <c r="N311" s="107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7"/>
      <c r="Z311" s="107"/>
      <c r="AA311" s="159"/>
      <c r="AB311" s="106"/>
      <c r="AC311" s="107"/>
      <c r="AD311" s="107"/>
      <c r="AE311" s="107"/>
      <c r="AF311" s="107"/>
      <c r="AG311" s="107"/>
      <c r="AH311" s="107"/>
      <c r="AI311" s="107"/>
      <c r="AJ311" s="108">
        <v>0</v>
      </c>
      <c r="AK311" s="107"/>
      <c r="AL311" s="107"/>
      <c r="AM311" s="107"/>
      <c r="AN311" s="107">
        <v>93.15</v>
      </c>
      <c r="AO311" s="107"/>
      <c r="AP311" s="107"/>
      <c r="AQ311" s="107"/>
      <c r="AR311" s="107"/>
      <c r="AS311" s="107"/>
      <c r="AT311" s="107"/>
      <c r="AU311" s="107">
        <v>711.36</v>
      </c>
      <c r="AV311" s="107"/>
      <c r="AW311" s="107"/>
      <c r="AX311" s="107"/>
      <c r="AY311" s="106"/>
      <c r="AZ311" s="107"/>
      <c r="BA311" s="107"/>
      <c r="BB311" s="107"/>
      <c r="BC311" s="107">
        <v>90.96525</v>
      </c>
      <c r="BD311" s="107">
        <v>89.199</v>
      </c>
      <c r="BE311" s="107"/>
      <c r="BF311" s="107"/>
      <c r="BG311" s="107"/>
      <c r="BH311" s="107"/>
      <c r="BI311" s="107"/>
      <c r="BJ311" s="107"/>
      <c r="BK311" s="107"/>
      <c r="BL311" s="107"/>
      <c r="BM311" s="107"/>
      <c r="BN311" s="107"/>
      <c r="BO311" s="107"/>
      <c r="BP311" s="107"/>
      <c r="BQ311" s="109"/>
      <c r="BR311" s="109"/>
      <c r="BS311" s="109"/>
      <c r="BT311" s="109"/>
      <c r="BU311" s="138"/>
    </row>
    <row r="312" spans="1:73" ht="38.25" customHeight="1" outlineLevel="2">
      <c r="A312" s="35" t="s">
        <v>1459</v>
      </c>
      <c r="B312" s="19" t="s">
        <v>798</v>
      </c>
      <c r="C312" s="20" t="s">
        <v>587</v>
      </c>
      <c r="D312" s="239">
        <v>246005140613</v>
      </c>
      <c r="E312" s="242" t="s">
        <v>2128</v>
      </c>
      <c r="F312" s="108">
        <f t="shared" si="50"/>
        <v>4716.81215</v>
      </c>
      <c r="G312" s="106">
        <f t="shared" si="48"/>
        <v>108.66811</v>
      </c>
      <c r="H312" s="106">
        <f t="shared" si="49"/>
        <v>4608.14404</v>
      </c>
      <c r="I312" s="107"/>
      <c r="J312" s="107"/>
      <c r="K312" s="107"/>
      <c r="L312" s="107"/>
      <c r="M312" s="107"/>
      <c r="N312" s="107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7"/>
      <c r="Z312" s="107"/>
      <c r="AA312" s="159"/>
      <c r="AB312" s="106"/>
      <c r="AC312" s="107"/>
      <c r="AD312" s="107"/>
      <c r="AE312" s="107"/>
      <c r="AF312" s="107"/>
      <c r="AG312" s="107"/>
      <c r="AH312" s="107"/>
      <c r="AI312" s="107"/>
      <c r="AJ312" s="108">
        <v>0</v>
      </c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7"/>
      <c r="AV312" s="107"/>
      <c r="AW312" s="107"/>
      <c r="AX312" s="107"/>
      <c r="AY312" s="106"/>
      <c r="AZ312" s="107"/>
      <c r="BA312" s="107"/>
      <c r="BB312" s="107"/>
      <c r="BC312" s="107">
        <v>108.66811</v>
      </c>
      <c r="BD312" s="107">
        <v>108.14404</v>
      </c>
      <c r="BE312" s="107"/>
      <c r="BF312" s="107"/>
      <c r="BG312" s="107"/>
      <c r="BH312" s="107"/>
      <c r="BI312" s="107"/>
      <c r="BJ312" s="107"/>
      <c r="BK312" s="107"/>
      <c r="BL312" s="107"/>
      <c r="BM312" s="107"/>
      <c r="BN312" s="107"/>
      <c r="BO312" s="107"/>
      <c r="BP312" s="107"/>
      <c r="BQ312" s="109"/>
      <c r="BR312" s="109"/>
      <c r="BS312" s="109"/>
      <c r="BT312" s="109"/>
      <c r="BU312" s="138">
        <v>4500</v>
      </c>
    </row>
    <row r="313" spans="1:73" ht="24" customHeight="1" outlineLevel="2">
      <c r="A313" s="35" t="s">
        <v>1459</v>
      </c>
      <c r="B313" s="19" t="s">
        <v>618</v>
      </c>
      <c r="C313" s="20" t="s">
        <v>587</v>
      </c>
      <c r="D313" s="249" t="s">
        <v>1546</v>
      </c>
      <c r="E313" s="250" t="s">
        <v>2129</v>
      </c>
      <c r="F313" s="108">
        <f t="shared" si="50"/>
        <v>1846.7649999999999</v>
      </c>
      <c r="G313" s="106">
        <f t="shared" si="48"/>
        <v>0</v>
      </c>
      <c r="H313" s="106">
        <f t="shared" si="49"/>
        <v>1846.7649999999999</v>
      </c>
      <c r="I313" s="107"/>
      <c r="J313" s="107"/>
      <c r="K313" s="107"/>
      <c r="L313" s="107"/>
      <c r="M313" s="107"/>
      <c r="N313" s="107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7"/>
      <c r="Z313" s="107"/>
      <c r="AA313" s="106"/>
      <c r="AB313" s="106"/>
      <c r="AC313" s="107"/>
      <c r="AD313" s="107"/>
      <c r="AE313" s="107"/>
      <c r="AF313" s="107"/>
      <c r="AG313" s="107"/>
      <c r="AH313" s="107"/>
      <c r="AI313" s="107"/>
      <c r="AJ313" s="108">
        <v>0</v>
      </c>
      <c r="AK313" s="107"/>
      <c r="AL313" s="107"/>
      <c r="AM313" s="107"/>
      <c r="AN313" s="107">
        <v>402.4</v>
      </c>
      <c r="AO313" s="107"/>
      <c r="AP313" s="107"/>
      <c r="AQ313" s="107"/>
      <c r="AR313" s="107"/>
      <c r="AS313" s="107"/>
      <c r="AT313" s="107"/>
      <c r="AU313" s="107"/>
      <c r="AV313" s="107"/>
      <c r="AW313" s="107"/>
      <c r="AX313" s="107"/>
      <c r="AY313" s="106"/>
      <c r="AZ313" s="107">
        <v>1444.365</v>
      </c>
      <c r="BA313" s="107"/>
      <c r="BB313" s="107"/>
      <c r="BC313" s="107"/>
      <c r="BD313" s="107"/>
      <c r="BE313" s="107"/>
      <c r="BF313" s="107"/>
      <c r="BG313" s="107"/>
      <c r="BH313" s="107"/>
      <c r="BI313" s="107"/>
      <c r="BJ313" s="107"/>
      <c r="BK313" s="107"/>
      <c r="BL313" s="107"/>
      <c r="BM313" s="107"/>
      <c r="BN313" s="107"/>
      <c r="BO313" s="107"/>
      <c r="BP313" s="107"/>
      <c r="BQ313" s="109"/>
      <c r="BR313" s="109"/>
      <c r="BS313" s="109"/>
      <c r="BT313" s="109"/>
      <c r="BU313" s="138"/>
    </row>
    <row r="314" spans="1:73" ht="39" customHeight="1" outlineLevel="2">
      <c r="A314" s="35" t="s">
        <v>1459</v>
      </c>
      <c r="B314" s="19" t="s">
        <v>236</v>
      </c>
      <c r="C314" s="74" t="s">
        <v>710</v>
      </c>
      <c r="D314" s="249" t="s">
        <v>1472</v>
      </c>
      <c r="E314" s="250" t="s">
        <v>2130</v>
      </c>
      <c r="F314" s="108">
        <f t="shared" si="50"/>
        <v>13772.624740000001</v>
      </c>
      <c r="G314" s="106">
        <f t="shared" si="48"/>
        <v>260.08012</v>
      </c>
      <c r="H314" s="106">
        <f t="shared" si="49"/>
        <v>13512.54462</v>
      </c>
      <c r="I314" s="107"/>
      <c r="J314" s="107"/>
      <c r="K314" s="107"/>
      <c r="L314" s="107"/>
      <c r="M314" s="107"/>
      <c r="N314" s="107">
        <v>11739.438</v>
      </c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7">
        <v>3.59973</v>
      </c>
      <c r="Z314" s="107">
        <v>53.924</v>
      </c>
      <c r="AA314" s="159">
        <v>49.27414</v>
      </c>
      <c r="AB314" s="106">
        <v>19.80731</v>
      </c>
      <c r="AC314" s="107"/>
      <c r="AD314" s="107"/>
      <c r="AE314" s="107"/>
      <c r="AF314" s="107"/>
      <c r="AG314" s="107"/>
      <c r="AH314" s="107"/>
      <c r="AI314" s="107"/>
      <c r="AJ314" s="108">
        <v>0</v>
      </c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7"/>
      <c r="AV314" s="107"/>
      <c r="AW314" s="107"/>
      <c r="AX314" s="107"/>
      <c r="AY314" s="106"/>
      <c r="AZ314" s="107">
        <v>1336.509</v>
      </c>
      <c r="BA314" s="107"/>
      <c r="BB314" s="107"/>
      <c r="BC314" s="107">
        <v>207.20625</v>
      </c>
      <c r="BD314" s="107">
        <v>205.56942</v>
      </c>
      <c r="BE314" s="107"/>
      <c r="BF314" s="107"/>
      <c r="BG314" s="107"/>
      <c r="BH314" s="107"/>
      <c r="BI314" s="107"/>
      <c r="BJ314" s="107">
        <v>157.29689</v>
      </c>
      <c r="BK314" s="107"/>
      <c r="BL314" s="107"/>
      <c r="BM314" s="107"/>
      <c r="BN314" s="107"/>
      <c r="BO314" s="107"/>
      <c r="BP314" s="107"/>
      <c r="BQ314" s="109"/>
      <c r="BR314" s="109"/>
      <c r="BS314" s="109"/>
      <c r="BT314" s="109"/>
      <c r="BU314" s="138"/>
    </row>
    <row r="315" spans="1:73" ht="25.5" customHeight="1" outlineLevel="2">
      <c r="A315" s="35" t="s">
        <v>1459</v>
      </c>
      <c r="B315" s="19" t="s">
        <v>797</v>
      </c>
      <c r="C315" s="20" t="s">
        <v>710</v>
      </c>
      <c r="D315" s="239">
        <v>241104022001</v>
      </c>
      <c r="E315" s="242" t="s">
        <v>2131</v>
      </c>
      <c r="F315" s="108">
        <f t="shared" si="50"/>
        <v>110.69891000000001</v>
      </c>
      <c r="G315" s="106">
        <f t="shared" si="48"/>
        <v>55.49112</v>
      </c>
      <c r="H315" s="106">
        <f t="shared" si="49"/>
        <v>55.20779</v>
      </c>
      <c r="I315" s="107"/>
      <c r="J315" s="107"/>
      <c r="K315" s="107"/>
      <c r="L315" s="107"/>
      <c r="M315" s="107"/>
      <c r="N315" s="107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7"/>
      <c r="Z315" s="107"/>
      <c r="AA315" s="106"/>
      <c r="AB315" s="106"/>
      <c r="AC315" s="107"/>
      <c r="AD315" s="107"/>
      <c r="AE315" s="107"/>
      <c r="AF315" s="107"/>
      <c r="AG315" s="107"/>
      <c r="AH315" s="107"/>
      <c r="AI315" s="107"/>
      <c r="AJ315" s="108">
        <v>0</v>
      </c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7"/>
      <c r="AV315" s="107"/>
      <c r="AW315" s="107"/>
      <c r="AX315" s="107"/>
      <c r="AY315" s="106"/>
      <c r="AZ315" s="107"/>
      <c r="BA315" s="107"/>
      <c r="BB315" s="107"/>
      <c r="BC315" s="107">
        <v>55.49112</v>
      </c>
      <c r="BD315" s="107">
        <v>55.20779</v>
      </c>
      <c r="BE315" s="107"/>
      <c r="BF315" s="107"/>
      <c r="BG315" s="107"/>
      <c r="BH315" s="107"/>
      <c r="BI315" s="107"/>
      <c r="BJ315" s="107"/>
      <c r="BK315" s="107"/>
      <c r="BL315" s="107"/>
      <c r="BM315" s="107"/>
      <c r="BN315" s="107"/>
      <c r="BO315" s="107"/>
      <c r="BP315" s="107"/>
      <c r="BQ315" s="109"/>
      <c r="BR315" s="109"/>
      <c r="BS315" s="109"/>
      <c r="BT315" s="109"/>
      <c r="BU315" s="138"/>
    </row>
    <row r="316" spans="1:73" ht="38.25" customHeight="1" outlineLevel="2">
      <c r="A316" s="35" t="s">
        <v>1459</v>
      </c>
      <c r="B316" s="19" t="s">
        <v>1551</v>
      </c>
      <c r="C316" s="20" t="s">
        <v>934</v>
      </c>
      <c r="D316" s="218" t="s">
        <v>1552</v>
      </c>
      <c r="E316" s="220" t="s">
        <v>2132</v>
      </c>
      <c r="F316" s="108">
        <f t="shared" si="50"/>
        <v>562.16161</v>
      </c>
      <c r="G316" s="106">
        <f t="shared" si="48"/>
        <v>407.195</v>
      </c>
      <c r="H316" s="106">
        <f t="shared" si="49"/>
        <v>154.96661</v>
      </c>
      <c r="I316" s="107"/>
      <c r="J316" s="107"/>
      <c r="K316" s="107"/>
      <c r="L316" s="107"/>
      <c r="M316" s="107"/>
      <c r="N316" s="107"/>
      <c r="O316" s="106">
        <v>407.195</v>
      </c>
      <c r="P316" s="106">
        <v>18.42048</v>
      </c>
      <c r="Q316" s="106"/>
      <c r="R316" s="106"/>
      <c r="S316" s="106"/>
      <c r="T316" s="106"/>
      <c r="U316" s="106"/>
      <c r="V316" s="106"/>
      <c r="W316" s="106"/>
      <c r="X316" s="106"/>
      <c r="Y316" s="107"/>
      <c r="Z316" s="107"/>
      <c r="AA316" s="106"/>
      <c r="AB316" s="106"/>
      <c r="AC316" s="107"/>
      <c r="AD316" s="107"/>
      <c r="AE316" s="107"/>
      <c r="AF316" s="107"/>
      <c r="AG316" s="107"/>
      <c r="AH316" s="107"/>
      <c r="AI316" s="107"/>
      <c r="AJ316" s="108">
        <v>0</v>
      </c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7"/>
      <c r="AV316" s="107"/>
      <c r="AW316" s="107"/>
      <c r="AX316" s="107"/>
      <c r="AY316" s="106"/>
      <c r="AZ316" s="107"/>
      <c r="BA316" s="107"/>
      <c r="BB316" s="107"/>
      <c r="BC316" s="107"/>
      <c r="BD316" s="107"/>
      <c r="BE316" s="107"/>
      <c r="BF316" s="107"/>
      <c r="BG316" s="107"/>
      <c r="BH316" s="107"/>
      <c r="BI316" s="107"/>
      <c r="BJ316" s="107">
        <v>26.68817</v>
      </c>
      <c r="BK316" s="107"/>
      <c r="BL316" s="107"/>
      <c r="BM316" s="107"/>
      <c r="BN316" s="107">
        <v>109.85796</v>
      </c>
      <c r="BO316" s="107"/>
      <c r="BP316" s="107"/>
      <c r="BQ316" s="109"/>
      <c r="BR316" s="109"/>
      <c r="BS316" s="109"/>
      <c r="BT316" s="109"/>
      <c r="BU316" s="138"/>
    </row>
    <row r="317" spans="1:73" ht="43.5" customHeight="1" outlineLevel="2">
      <c r="A317" s="35" t="s">
        <v>1459</v>
      </c>
      <c r="B317" s="19" t="s">
        <v>486</v>
      </c>
      <c r="C317" s="20" t="s">
        <v>934</v>
      </c>
      <c r="D317" s="218" t="s">
        <v>2789</v>
      </c>
      <c r="E317" s="203" t="s">
        <v>2790</v>
      </c>
      <c r="F317" s="108">
        <f t="shared" si="50"/>
        <v>719.80118</v>
      </c>
      <c r="G317" s="106">
        <f t="shared" si="48"/>
        <v>0</v>
      </c>
      <c r="H317" s="106">
        <f t="shared" si="49"/>
        <v>719.80118</v>
      </c>
      <c r="I317" s="107"/>
      <c r="J317" s="107"/>
      <c r="K317" s="107"/>
      <c r="L317" s="107"/>
      <c r="M317" s="107"/>
      <c r="N317" s="107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7"/>
      <c r="Z317" s="107"/>
      <c r="AA317" s="106"/>
      <c r="AB317" s="106"/>
      <c r="AC317" s="107"/>
      <c r="AD317" s="107"/>
      <c r="AE317" s="107"/>
      <c r="AF317" s="107"/>
      <c r="AG317" s="107"/>
      <c r="AH317" s="107"/>
      <c r="AI317" s="107"/>
      <c r="AJ317" s="108">
        <v>0</v>
      </c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7"/>
      <c r="AV317" s="107"/>
      <c r="AW317" s="107"/>
      <c r="AX317" s="107"/>
      <c r="AY317" s="106"/>
      <c r="AZ317" s="107"/>
      <c r="BA317" s="107"/>
      <c r="BB317" s="107"/>
      <c r="BC317" s="107"/>
      <c r="BD317" s="107"/>
      <c r="BE317" s="107"/>
      <c r="BF317" s="107"/>
      <c r="BG317" s="107"/>
      <c r="BH317" s="107"/>
      <c r="BI317" s="107"/>
      <c r="BJ317" s="107">
        <v>719.80118</v>
      </c>
      <c r="BK317" s="107"/>
      <c r="BL317" s="107"/>
      <c r="BM317" s="107"/>
      <c r="BN317" s="107"/>
      <c r="BO317" s="107"/>
      <c r="BP317" s="107"/>
      <c r="BQ317" s="109"/>
      <c r="BR317" s="109"/>
      <c r="BS317" s="109"/>
      <c r="BT317" s="109"/>
      <c r="BU317" s="138"/>
    </row>
    <row r="318" spans="1:73" ht="61.5" customHeight="1" outlineLevel="2">
      <c r="A318" s="35" t="s">
        <v>1459</v>
      </c>
      <c r="B318" s="76" t="s">
        <v>1726</v>
      </c>
      <c r="C318" s="20" t="s">
        <v>1037</v>
      </c>
      <c r="D318" s="218" t="s">
        <v>2134</v>
      </c>
      <c r="E318" s="220" t="s">
        <v>2133</v>
      </c>
      <c r="F318" s="108">
        <f t="shared" si="50"/>
        <v>49.985640000000004</v>
      </c>
      <c r="G318" s="106">
        <f t="shared" si="48"/>
        <v>0</v>
      </c>
      <c r="H318" s="106">
        <f t="shared" si="49"/>
        <v>49.985640000000004</v>
      </c>
      <c r="I318" s="107"/>
      <c r="J318" s="107"/>
      <c r="K318" s="107"/>
      <c r="L318" s="107"/>
      <c r="M318" s="107"/>
      <c r="N318" s="107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7"/>
      <c r="Z318" s="107"/>
      <c r="AA318" s="106"/>
      <c r="AB318" s="106"/>
      <c r="AC318" s="107"/>
      <c r="AD318" s="107"/>
      <c r="AE318" s="107"/>
      <c r="AF318" s="107"/>
      <c r="AG318" s="107"/>
      <c r="AH318" s="107"/>
      <c r="AI318" s="107"/>
      <c r="AJ318" s="108">
        <v>49.985640000000004</v>
      </c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7"/>
      <c r="AV318" s="107"/>
      <c r="AW318" s="107"/>
      <c r="AX318" s="107"/>
      <c r="AY318" s="106"/>
      <c r="AZ318" s="107"/>
      <c r="BA318" s="107"/>
      <c r="BB318" s="107"/>
      <c r="BC318" s="107"/>
      <c r="BD318" s="107"/>
      <c r="BE318" s="107"/>
      <c r="BF318" s="107"/>
      <c r="BG318" s="107"/>
      <c r="BH318" s="107"/>
      <c r="BI318" s="107"/>
      <c r="BJ318" s="107"/>
      <c r="BK318" s="107"/>
      <c r="BL318" s="107"/>
      <c r="BM318" s="107"/>
      <c r="BN318" s="107"/>
      <c r="BO318" s="107"/>
      <c r="BP318" s="107"/>
      <c r="BQ318" s="109"/>
      <c r="BR318" s="109"/>
      <c r="BS318" s="109"/>
      <c r="BT318" s="109"/>
      <c r="BU318" s="138"/>
    </row>
    <row r="319" spans="1:73" ht="33" customHeight="1" outlineLevel="2">
      <c r="A319" s="35" t="s">
        <v>1459</v>
      </c>
      <c r="B319" s="19" t="s">
        <v>668</v>
      </c>
      <c r="C319" s="20" t="s">
        <v>1037</v>
      </c>
      <c r="D319" s="218">
        <v>2463006966</v>
      </c>
      <c r="E319" s="203" t="s">
        <v>2770</v>
      </c>
      <c r="F319" s="108">
        <f t="shared" si="50"/>
        <v>278.50728</v>
      </c>
      <c r="G319" s="106">
        <f t="shared" si="48"/>
        <v>0</v>
      </c>
      <c r="H319" s="106">
        <f t="shared" si="49"/>
        <v>278.50728</v>
      </c>
      <c r="I319" s="107"/>
      <c r="J319" s="107"/>
      <c r="K319" s="107"/>
      <c r="L319" s="107"/>
      <c r="M319" s="107"/>
      <c r="N319" s="107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7"/>
      <c r="Z319" s="107"/>
      <c r="AA319" s="106"/>
      <c r="AB319" s="106"/>
      <c r="AC319" s="107"/>
      <c r="AD319" s="107"/>
      <c r="AE319" s="107"/>
      <c r="AF319" s="107"/>
      <c r="AG319" s="107"/>
      <c r="AH319" s="107"/>
      <c r="AI319" s="107"/>
      <c r="AJ319" s="108">
        <v>278.50728</v>
      </c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7"/>
      <c r="AV319" s="107"/>
      <c r="AW319" s="107"/>
      <c r="AX319" s="107"/>
      <c r="AY319" s="106"/>
      <c r="AZ319" s="107"/>
      <c r="BA319" s="107"/>
      <c r="BB319" s="107"/>
      <c r="BC319" s="107"/>
      <c r="BD319" s="107"/>
      <c r="BE319" s="107"/>
      <c r="BF319" s="107"/>
      <c r="BG319" s="107"/>
      <c r="BH319" s="107"/>
      <c r="BI319" s="107"/>
      <c r="BJ319" s="107"/>
      <c r="BK319" s="107"/>
      <c r="BL319" s="107"/>
      <c r="BM319" s="107"/>
      <c r="BN319" s="107"/>
      <c r="BO319" s="107"/>
      <c r="BP319" s="107"/>
      <c r="BQ319" s="109"/>
      <c r="BR319" s="109"/>
      <c r="BS319" s="109"/>
      <c r="BT319" s="109"/>
      <c r="BU319" s="138"/>
    </row>
    <row r="320" spans="1:73" s="32" customFormat="1" ht="21" outlineLevel="1" thickBot="1">
      <c r="A320" s="65" t="s">
        <v>1487</v>
      </c>
      <c r="B320" s="68"/>
      <c r="C320" s="67" t="s">
        <v>1572</v>
      </c>
      <c r="D320" s="231"/>
      <c r="E320" s="232"/>
      <c r="F320" s="122">
        <f aca="true" t="shared" si="51" ref="F320:AV320">SUBTOTAL(9,F283:F319)</f>
        <v>169157.40597000008</v>
      </c>
      <c r="G320" s="122">
        <f t="shared" si="51"/>
        <v>51121.608940000006</v>
      </c>
      <c r="H320" s="122">
        <f t="shared" si="51"/>
        <v>118035.79702999999</v>
      </c>
      <c r="I320" s="122">
        <f t="shared" si="51"/>
        <v>19519.73408</v>
      </c>
      <c r="J320" s="122">
        <f t="shared" si="51"/>
        <v>3707.91647</v>
      </c>
      <c r="K320" s="122">
        <f t="shared" si="51"/>
        <v>1945.09774</v>
      </c>
      <c r="L320" s="122">
        <f t="shared" si="51"/>
        <v>367.26978</v>
      </c>
      <c r="M320" s="122">
        <f t="shared" si="51"/>
        <v>273.51851</v>
      </c>
      <c r="N320" s="122">
        <f t="shared" si="51"/>
        <v>11739.438</v>
      </c>
      <c r="O320" s="122">
        <f t="shared" si="51"/>
        <v>788.9266399999999</v>
      </c>
      <c r="P320" s="122">
        <f t="shared" si="51"/>
        <v>99.07047</v>
      </c>
      <c r="Q320" s="122">
        <f t="shared" si="51"/>
        <v>267.22047</v>
      </c>
      <c r="R320" s="122">
        <f t="shared" si="51"/>
        <v>0</v>
      </c>
      <c r="S320" s="122">
        <f t="shared" si="51"/>
        <v>80.64296</v>
      </c>
      <c r="T320" s="122">
        <f t="shared" si="51"/>
        <v>20.16074</v>
      </c>
      <c r="U320" s="122">
        <f t="shared" si="51"/>
        <v>0</v>
      </c>
      <c r="V320" s="122">
        <f t="shared" si="51"/>
        <v>0</v>
      </c>
      <c r="W320" s="122">
        <f t="shared" si="51"/>
        <v>1509.0978599999999</v>
      </c>
      <c r="X320" s="122">
        <f t="shared" si="51"/>
        <v>787.85475</v>
      </c>
      <c r="Y320" s="122">
        <f t="shared" si="51"/>
        <v>477.72776000000005</v>
      </c>
      <c r="Z320" s="122">
        <f t="shared" si="51"/>
        <v>1397.1570000000002</v>
      </c>
      <c r="AA320" s="122">
        <f t="shared" si="51"/>
        <v>2749.86544</v>
      </c>
      <c r="AB320" s="122">
        <f t="shared" si="51"/>
        <v>1399.78252</v>
      </c>
      <c r="AC320" s="122">
        <f t="shared" si="51"/>
        <v>149.09485</v>
      </c>
      <c r="AD320" s="122">
        <f t="shared" si="51"/>
        <v>77.83795</v>
      </c>
      <c r="AE320" s="122">
        <f t="shared" si="51"/>
        <v>0</v>
      </c>
      <c r="AF320" s="122">
        <f t="shared" si="51"/>
        <v>0</v>
      </c>
      <c r="AG320" s="122">
        <f t="shared" si="51"/>
        <v>6.8556</v>
      </c>
      <c r="AH320" s="122">
        <f t="shared" si="51"/>
        <v>0</v>
      </c>
      <c r="AI320" s="122">
        <f t="shared" si="51"/>
        <v>0</v>
      </c>
      <c r="AJ320" s="122">
        <f>SUBTOTAL(9,AJ283:AJ319)</f>
        <v>2907.9634400000004</v>
      </c>
      <c r="AK320" s="122">
        <f t="shared" si="51"/>
        <v>0</v>
      </c>
      <c r="AL320" s="122">
        <f t="shared" si="51"/>
        <v>6543.03209</v>
      </c>
      <c r="AM320" s="122">
        <f t="shared" si="51"/>
        <v>16755.213</v>
      </c>
      <c r="AN320" s="122">
        <f t="shared" si="51"/>
        <v>3264.21093</v>
      </c>
      <c r="AO320" s="122">
        <f t="shared" si="51"/>
        <v>10231.954</v>
      </c>
      <c r="AP320" s="122">
        <f t="shared" si="51"/>
        <v>7145.944</v>
      </c>
      <c r="AQ320" s="122">
        <f t="shared" si="51"/>
        <v>3466.25</v>
      </c>
      <c r="AR320" s="122">
        <f t="shared" si="51"/>
        <v>300</v>
      </c>
      <c r="AS320" s="122">
        <f t="shared" si="51"/>
        <v>240</v>
      </c>
      <c r="AT320" s="122">
        <f t="shared" si="51"/>
        <v>38.832</v>
      </c>
      <c r="AU320" s="122">
        <f t="shared" si="51"/>
        <v>1161.2375</v>
      </c>
      <c r="AV320" s="122">
        <f t="shared" si="51"/>
        <v>524.16</v>
      </c>
      <c r="AW320" s="122">
        <f aca="true" t="shared" si="52" ref="AW320:BU320">SUBTOTAL(9,AW283:AW319)</f>
        <v>0</v>
      </c>
      <c r="AX320" s="122">
        <f t="shared" si="52"/>
        <v>5306.367260000001</v>
      </c>
      <c r="AY320" s="122">
        <f t="shared" si="52"/>
        <v>3991.8324599999996</v>
      </c>
      <c r="AZ320" s="122">
        <f t="shared" si="52"/>
        <v>27488.916000000005</v>
      </c>
      <c r="BA320" s="122">
        <f t="shared" si="52"/>
        <v>2297.6595</v>
      </c>
      <c r="BB320" s="122">
        <f t="shared" si="52"/>
        <v>0</v>
      </c>
      <c r="BC320" s="122">
        <f t="shared" si="52"/>
        <v>8063.100350000001</v>
      </c>
      <c r="BD320" s="122">
        <f t="shared" si="52"/>
        <v>7919.937590000001</v>
      </c>
      <c r="BE320" s="122">
        <f t="shared" si="52"/>
        <v>175.97971</v>
      </c>
      <c r="BF320" s="122">
        <f t="shared" si="52"/>
        <v>0</v>
      </c>
      <c r="BG320" s="122">
        <f t="shared" si="52"/>
        <v>0</v>
      </c>
      <c r="BH320" s="122">
        <f t="shared" si="52"/>
        <v>0</v>
      </c>
      <c r="BI320" s="122">
        <f t="shared" si="52"/>
        <v>0</v>
      </c>
      <c r="BJ320" s="122">
        <f t="shared" si="52"/>
        <v>3700.7684799999997</v>
      </c>
      <c r="BK320" s="122"/>
      <c r="BL320" s="122">
        <f t="shared" si="52"/>
        <v>0</v>
      </c>
      <c r="BM320" s="122">
        <f t="shared" si="52"/>
        <v>1954.25211</v>
      </c>
      <c r="BN320" s="122">
        <f t="shared" si="52"/>
        <v>109.85796</v>
      </c>
      <c r="BO320" s="122">
        <f t="shared" si="52"/>
        <v>2000</v>
      </c>
      <c r="BP320" s="122">
        <f t="shared" si="52"/>
        <v>0</v>
      </c>
      <c r="BQ320" s="122">
        <f t="shared" si="52"/>
        <v>205.668</v>
      </c>
      <c r="BR320" s="122">
        <f t="shared" si="52"/>
        <v>0</v>
      </c>
      <c r="BS320" s="122">
        <f t="shared" si="52"/>
        <v>1500</v>
      </c>
      <c r="BT320" s="122">
        <f t="shared" si="52"/>
        <v>0</v>
      </c>
      <c r="BU320" s="122">
        <f t="shared" si="52"/>
        <v>4500</v>
      </c>
    </row>
    <row r="321" spans="1:73" ht="24" customHeight="1" outlineLevel="2">
      <c r="A321" s="35" t="s">
        <v>1488</v>
      </c>
      <c r="B321" s="19" t="s">
        <v>553</v>
      </c>
      <c r="C321" s="20" t="s">
        <v>1496</v>
      </c>
      <c r="D321" s="218" t="s">
        <v>514</v>
      </c>
      <c r="E321" s="220"/>
      <c r="F321" s="108">
        <f t="shared" si="50"/>
        <v>10362.05196</v>
      </c>
      <c r="G321" s="106">
        <f>I321+K321+O321+S321+U321+W321+Y321+AA321+AC321+AE321+AR321+AX321+BC321+BG321+BP321+BR321+BT321+AO321</f>
        <v>12.54598</v>
      </c>
      <c r="H321" s="106">
        <f>J321+L321+M321+N321+P321+Q321+R321+T321+V321+X321+Z321+AB321+AD321+AF321+AG321+AJ321+AL321+AS321+AT321+AU321+AV321+AW321+AY321+AZ321+BA321+BB321+BD321+BE321+BF321+BH321+BI321+BJ321+BL321+BM321+BN321+BO321+BQ321+BS321+BU321+AH321+AI321+AK321+AM321+AN321+AP321+AQ321+BK321</f>
        <v>10349.50598</v>
      </c>
      <c r="I321" s="107"/>
      <c r="J321" s="107"/>
      <c r="K321" s="107"/>
      <c r="L321" s="107"/>
      <c r="M321" s="107"/>
      <c r="N321" s="107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7"/>
      <c r="Z321" s="107"/>
      <c r="AA321" s="106"/>
      <c r="AB321" s="106"/>
      <c r="AC321" s="107"/>
      <c r="AD321" s="107"/>
      <c r="AE321" s="107"/>
      <c r="AF321" s="107"/>
      <c r="AG321" s="107"/>
      <c r="AH321" s="107"/>
      <c r="AI321" s="107"/>
      <c r="AJ321" s="108">
        <v>0</v>
      </c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7"/>
      <c r="AV321" s="107"/>
      <c r="AW321" s="107"/>
      <c r="AX321" s="107"/>
      <c r="AY321" s="106"/>
      <c r="AZ321" s="107"/>
      <c r="BA321" s="107"/>
      <c r="BB321" s="107"/>
      <c r="BC321" s="107">
        <v>12.54598</v>
      </c>
      <c r="BD321" s="107">
        <v>12.30598</v>
      </c>
      <c r="BE321" s="107"/>
      <c r="BF321" s="107">
        <v>10337.2</v>
      </c>
      <c r="BG321" s="107"/>
      <c r="BH321" s="107"/>
      <c r="BI321" s="107"/>
      <c r="BJ321" s="107"/>
      <c r="BK321" s="107"/>
      <c r="BL321" s="107"/>
      <c r="BM321" s="107"/>
      <c r="BN321" s="107"/>
      <c r="BO321" s="107"/>
      <c r="BP321" s="107"/>
      <c r="BQ321" s="109"/>
      <c r="BR321" s="109"/>
      <c r="BS321" s="109"/>
      <c r="BT321" s="109"/>
      <c r="BU321" s="138"/>
    </row>
    <row r="322" spans="1:73" ht="42" customHeight="1" outlineLevel="2">
      <c r="A322" s="35" t="s">
        <v>1488</v>
      </c>
      <c r="B322" s="19" t="s">
        <v>490</v>
      </c>
      <c r="C322" s="20" t="s">
        <v>1496</v>
      </c>
      <c r="D322" s="218" t="s">
        <v>1140</v>
      </c>
      <c r="E322" s="203" t="s">
        <v>2137</v>
      </c>
      <c r="F322" s="108">
        <f t="shared" si="50"/>
        <v>234.78777000000002</v>
      </c>
      <c r="G322" s="106">
        <f aca="true" t="shared" si="53" ref="G322:G330">I322+K322+O322+S322+U322+W322+Y322+AA322+AC322+AE322+AR322+AX322+BC322+BG322+BP322+BR322+BT322+AO322</f>
        <v>55.46027</v>
      </c>
      <c r="H322" s="106">
        <f aca="true" t="shared" si="54" ref="H322:H330">J322+L322+M322+N322+P322+Q322+R322+T322+V322+X322+Z322+AB322+AD322+AF322+AG322+AJ322+AL322+AS322+AT322+AU322+AV322+AW322+AY322+AZ322+BA322+BB322+BD322+BE322+BF322+BH322+BI322+BJ322+BL322+BM322+BN322+BO322+BQ322+BS322+BU322+AH322+AI322+AK322+AM322+AN322+AP322+AQ322+BK322</f>
        <v>179.32750000000001</v>
      </c>
      <c r="I322" s="107"/>
      <c r="J322" s="107"/>
      <c r="K322" s="107"/>
      <c r="L322" s="107"/>
      <c r="M322" s="107"/>
      <c r="N322" s="107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7"/>
      <c r="Z322" s="107"/>
      <c r="AA322" s="159">
        <v>28.37778</v>
      </c>
      <c r="AB322" s="106">
        <v>19.80731</v>
      </c>
      <c r="AC322" s="107"/>
      <c r="AD322" s="107"/>
      <c r="AE322" s="107"/>
      <c r="AF322" s="107"/>
      <c r="AG322" s="107"/>
      <c r="AH322" s="107"/>
      <c r="AI322" s="107"/>
      <c r="AJ322" s="108">
        <v>0</v>
      </c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7"/>
      <c r="AV322" s="107"/>
      <c r="AW322" s="107"/>
      <c r="AX322" s="107"/>
      <c r="AY322" s="106">
        <v>132.96197</v>
      </c>
      <c r="AZ322" s="107"/>
      <c r="BA322" s="107"/>
      <c r="BB322" s="107"/>
      <c r="BC322" s="107">
        <v>27.08249</v>
      </c>
      <c r="BD322" s="107">
        <v>26.55822</v>
      </c>
      <c r="BE322" s="107"/>
      <c r="BF322" s="107"/>
      <c r="BG322" s="107"/>
      <c r="BH322" s="107"/>
      <c r="BI322" s="107"/>
      <c r="BJ322" s="107"/>
      <c r="BK322" s="107"/>
      <c r="BL322" s="107"/>
      <c r="BM322" s="107"/>
      <c r="BN322" s="107"/>
      <c r="BO322" s="107"/>
      <c r="BP322" s="107"/>
      <c r="BQ322" s="109"/>
      <c r="BR322" s="109"/>
      <c r="BS322" s="109"/>
      <c r="BT322" s="109"/>
      <c r="BU322" s="138"/>
    </row>
    <row r="323" spans="1:73" ht="39" customHeight="1" outlineLevel="2">
      <c r="A323" s="35" t="s">
        <v>1488</v>
      </c>
      <c r="B323" s="19" t="s">
        <v>120</v>
      </c>
      <c r="C323" s="20" t="s">
        <v>1496</v>
      </c>
      <c r="D323" s="218" t="s">
        <v>121</v>
      </c>
      <c r="E323" s="203" t="s">
        <v>2138</v>
      </c>
      <c r="F323" s="108">
        <f t="shared" si="50"/>
        <v>568.28719</v>
      </c>
      <c r="G323" s="106">
        <f t="shared" si="53"/>
        <v>363.80822</v>
      </c>
      <c r="H323" s="106">
        <f t="shared" si="54"/>
        <v>204.47897</v>
      </c>
      <c r="I323" s="107"/>
      <c r="J323" s="107"/>
      <c r="K323" s="107"/>
      <c r="L323" s="107"/>
      <c r="M323" s="107"/>
      <c r="N323" s="107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7"/>
      <c r="Z323" s="107"/>
      <c r="AA323" s="106"/>
      <c r="AB323" s="106"/>
      <c r="AC323" s="107"/>
      <c r="AD323" s="107"/>
      <c r="AE323" s="107"/>
      <c r="AF323" s="107"/>
      <c r="AG323" s="107"/>
      <c r="AH323" s="107"/>
      <c r="AI323" s="107"/>
      <c r="AJ323" s="108">
        <v>0</v>
      </c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7"/>
      <c r="AV323" s="107"/>
      <c r="AW323" s="107"/>
      <c r="AX323" s="107">
        <v>263.59273</v>
      </c>
      <c r="AY323" s="106">
        <v>106.20137</v>
      </c>
      <c r="AZ323" s="107"/>
      <c r="BA323" s="107"/>
      <c r="BB323" s="107"/>
      <c r="BC323" s="107">
        <v>100.21549</v>
      </c>
      <c r="BD323" s="107">
        <v>98.2776</v>
      </c>
      <c r="BE323" s="107"/>
      <c r="BF323" s="107"/>
      <c r="BG323" s="107"/>
      <c r="BH323" s="107"/>
      <c r="BI323" s="107"/>
      <c r="BJ323" s="107"/>
      <c r="BK323" s="107"/>
      <c r="BL323" s="107"/>
      <c r="BM323" s="107"/>
      <c r="BN323" s="107"/>
      <c r="BO323" s="107"/>
      <c r="BP323" s="107"/>
      <c r="BQ323" s="109"/>
      <c r="BR323" s="109"/>
      <c r="BS323" s="109"/>
      <c r="BT323" s="109"/>
      <c r="BU323" s="138"/>
    </row>
    <row r="324" spans="1:73" ht="34.5" customHeight="1" outlineLevel="2">
      <c r="A324" s="35" t="s">
        <v>1488</v>
      </c>
      <c r="B324" s="19" t="s">
        <v>1489</v>
      </c>
      <c r="C324" s="20" t="s">
        <v>1496</v>
      </c>
      <c r="D324" s="218" t="s">
        <v>1490</v>
      </c>
      <c r="E324" s="203" t="s">
        <v>2139</v>
      </c>
      <c r="F324" s="108">
        <f t="shared" si="50"/>
        <v>561.3341</v>
      </c>
      <c r="G324" s="106">
        <f t="shared" si="53"/>
        <v>331.61675</v>
      </c>
      <c r="H324" s="106">
        <f t="shared" si="54"/>
        <v>229.71735</v>
      </c>
      <c r="I324" s="107">
        <v>110.32368</v>
      </c>
      <c r="J324" s="107">
        <v>20.73972</v>
      </c>
      <c r="K324" s="107"/>
      <c r="L324" s="107"/>
      <c r="M324" s="107"/>
      <c r="N324" s="107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7"/>
      <c r="Z324" s="107"/>
      <c r="AA324" s="159">
        <v>28.37778</v>
      </c>
      <c r="AB324" s="106">
        <v>19.80731</v>
      </c>
      <c r="AC324" s="107"/>
      <c r="AD324" s="107"/>
      <c r="AE324" s="107"/>
      <c r="AF324" s="107"/>
      <c r="AG324" s="107"/>
      <c r="AH324" s="107"/>
      <c r="AI324" s="107"/>
      <c r="AJ324" s="108">
        <v>0</v>
      </c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7"/>
      <c r="AV324" s="107"/>
      <c r="AW324" s="107"/>
      <c r="AX324" s="107"/>
      <c r="AY324" s="106"/>
      <c r="AZ324" s="107"/>
      <c r="BA324" s="107"/>
      <c r="BB324" s="107"/>
      <c r="BC324" s="107">
        <v>192.91529</v>
      </c>
      <c r="BD324" s="107">
        <v>189.17032</v>
      </c>
      <c r="BE324" s="107"/>
      <c r="BF324" s="107"/>
      <c r="BG324" s="107"/>
      <c r="BH324" s="107"/>
      <c r="BI324" s="107"/>
      <c r="BJ324" s="107"/>
      <c r="BK324" s="107"/>
      <c r="BL324" s="107"/>
      <c r="BM324" s="107"/>
      <c r="BN324" s="107"/>
      <c r="BO324" s="107"/>
      <c r="BP324" s="107"/>
      <c r="BQ324" s="109"/>
      <c r="BR324" s="109"/>
      <c r="BS324" s="109"/>
      <c r="BT324" s="109"/>
      <c r="BU324" s="138"/>
    </row>
    <row r="325" spans="1:73" ht="32.25" customHeight="1" outlineLevel="2">
      <c r="A325" s="35" t="s">
        <v>1488</v>
      </c>
      <c r="B325" s="19" t="s">
        <v>151</v>
      </c>
      <c r="C325" s="20" t="s">
        <v>1496</v>
      </c>
      <c r="D325" s="218" t="s">
        <v>1142</v>
      </c>
      <c r="E325" s="203" t="s">
        <v>2140</v>
      </c>
      <c r="F325" s="108">
        <f t="shared" si="50"/>
        <v>65.7442</v>
      </c>
      <c r="G325" s="106">
        <f t="shared" si="53"/>
        <v>33.19402</v>
      </c>
      <c r="H325" s="106">
        <f t="shared" si="54"/>
        <v>32.55018</v>
      </c>
      <c r="I325" s="107"/>
      <c r="J325" s="107"/>
      <c r="K325" s="107"/>
      <c r="L325" s="107"/>
      <c r="M325" s="107"/>
      <c r="N325" s="107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7"/>
      <c r="Z325" s="107"/>
      <c r="AA325" s="159"/>
      <c r="AB325" s="106"/>
      <c r="AC325" s="107"/>
      <c r="AD325" s="107"/>
      <c r="AE325" s="107"/>
      <c r="AF325" s="107"/>
      <c r="AG325" s="107"/>
      <c r="AH325" s="107"/>
      <c r="AI325" s="107"/>
      <c r="AJ325" s="108">
        <v>0</v>
      </c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7"/>
      <c r="AV325" s="107"/>
      <c r="AW325" s="107"/>
      <c r="AX325" s="107"/>
      <c r="AY325" s="106"/>
      <c r="AZ325" s="107"/>
      <c r="BA325" s="107"/>
      <c r="BB325" s="107"/>
      <c r="BC325" s="107">
        <v>33.19402</v>
      </c>
      <c r="BD325" s="107">
        <v>32.55018</v>
      </c>
      <c r="BE325" s="107"/>
      <c r="BF325" s="107"/>
      <c r="BG325" s="107"/>
      <c r="BH325" s="107"/>
      <c r="BI325" s="107"/>
      <c r="BJ325" s="107"/>
      <c r="BK325" s="107"/>
      <c r="BL325" s="107"/>
      <c r="BM325" s="107"/>
      <c r="BN325" s="107"/>
      <c r="BO325" s="107"/>
      <c r="BP325" s="107"/>
      <c r="BQ325" s="109"/>
      <c r="BR325" s="109"/>
      <c r="BS325" s="109"/>
      <c r="BT325" s="109"/>
      <c r="BU325" s="138"/>
    </row>
    <row r="326" spans="1:73" ht="30.75" customHeight="1" outlineLevel="2">
      <c r="A326" s="35" t="s">
        <v>1488</v>
      </c>
      <c r="B326" s="19" t="s">
        <v>52</v>
      </c>
      <c r="C326" s="20" t="s">
        <v>1496</v>
      </c>
      <c r="D326" s="218" t="s">
        <v>53</v>
      </c>
      <c r="E326" s="203" t="s">
        <v>2143</v>
      </c>
      <c r="F326" s="108">
        <f t="shared" si="50"/>
        <v>535.0274</v>
      </c>
      <c r="G326" s="106">
        <f t="shared" si="53"/>
        <v>360.47892</v>
      </c>
      <c r="H326" s="106">
        <f t="shared" si="54"/>
        <v>174.54847999999998</v>
      </c>
      <c r="I326" s="107"/>
      <c r="J326" s="107"/>
      <c r="K326" s="107"/>
      <c r="L326" s="107"/>
      <c r="M326" s="107"/>
      <c r="N326" s="107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7"/>
      <c r="Z326" s="107"/>
      <c r="AA326" s="106"/>
      <c r="AB326" s="106"/>
      <c r="AC326" s="107"/>
      <c r="AD326" s="107"/>
      <c r="AE326" s="107"/>
      <c r="AF326" s="107"/>
      <c r="AG326" s="107"/>
      <c r="AH326" s="107"/>
      <c r="AI326" s="107"/>
      <c r="AJ326" s="108">
        <v>0</v>
      </c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7"/>
      <c r="AV326" s="107"/>
      <c r="AW326" s="107"/>
      <c r="AX326" s="107">
        <v>277.60476</v>
      </c>
      <c r="AY326" s="106">
        <v>93.27761</v>
      </c>
      <c r="AZ326" s="107"/>
      <c r="BA326" s="107"/>
      <c r="BB326" s="107"/>
      <c r="BC326" s="107">
        <v>82.87416</v>
      </c>
      <c r="BD326" s="107">
        <v>81.27087</v>
      </c>
      <c r="BE326" s="107"/>
      <c r="BF326" s="107"/>
      <c r="BG326" s="107"/>
      <c r="BH326" s="107"/>
      <c r="BI326" s="107"/>
      <c r="BJ326" s="107"/>
      <c r="BK326" s="107"/>
      <c r="BL326" s="107"/>
      <c r="BM326" s="107"/>
      <c r="BN326" s="107"/>
      <c r="BO326" s="107"/>
      <c r="BP326" s="107"/>
      <c r="BQ326" s="109"/>
      <c r="BR326" s="109"/>
      <c r="BS326" s="109"/>
      <c r="BT326" s="109"/>
      <c r="BU326" s="138"/>
    </row>
    <row r="327" spans="1:73" ht="36" customHeight="1" outlineLevel="2">
      <c r="A327" s="35" t="s">
        <v>1488</v>
      </c>
      <c r="B327" s="19" t="s">
        <v>66</v>
      </c>
      <c r="C327" s="20" t="s">
        <v>1496</v>
      </c>
      <c r="D327" s="218" t="s">
        <v>241</v>
      </c>
      <c r="E327" s="203" t="s">
        <v>2144</v>
      </c>
      <c r="F327" s="108">
        <f t="shared" si="50"/>
        <v>490.04798</v>
      </c>
      <c r="G327" s="106">
        <f t="shared" si="53"/>
        <v>273.69842</v>
      </c>
      <c r="H327" s="106">
        <f t="shared" si="54"/>
        <v>216.34956</v>
      </c>
      <c r="I327" s="107"/>
      <c r="J327" s="107"/>
      <c r="K327" s="107"/>
      <c r="L327" s="107"/>
      <c r="M327" s="107"/>
      <c r="N327" s="107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7"/>
      <c r="Z327" s="107"/>
      <c r="AA327" s="106"/>
      <c r="AB327" s="106"/>
      <c r="AC327" s="107"/>
      <c r="AD327" s="107"/>
      <c r="AE327" s="107"/>
      <c r="AF327" s="107"/>
      <c r="AG327" s="107"/>
      <c r="AH327" s="107"/>
      <c r="AI327" s="107"/>
      <c r="AJ327" s="108">
        <v>0</v>
      </c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7"/>
      <c r="AV327" s="107"/>
      <c r="AW327" s="107"/>
      <c r="AX327" s="107">
        <v>112.80907</v>
      </c>
      <c r="AY327" s="106">
        <v>58.57539</v>
      </c>
      <c r="AZ327" s="107"/>
      <c r="BA327" s="107"/>
      <c r="BB327" s="107"/>
      <c r="BC327" s="107">
        <v>160.88935</v>
      </c>
      <c r="BD327" s="107">
        <v>157.77417</v>
      </c>
      <c r="BE327" s="107"/>
      <c r="BF327" s="107"/>
      <c r="BG327" s="107"/>
      <c r="BH327" s="107"/>
      <c r="BI327" s="107"/>
      <c r="BJ327" s="107"/>
      <c r="BK327" s="107"/>
      <c r="BL327" s="107"/>
      <c r="BM327" s="107"/>
      <c r="BN327" s="107"/>
      <c r="BO327" s="107"/>
      <c r="BP327" s="107"/>
      <c r="BQ327" s="109"/>
      <c r="BR327" s="109"/>
      <c r="BS327" s="109"/>
      <c r="BT327" s="109"/>
      <c r="BU327" s="138"/>
    </row>
    <row r="328" spans="1:73" ht="38.25" customHeight="1" outlineLevel="2">
      <c r="A328" s="2" t="s">
        <v>1488</v>
      </c>
      <c r="B328" s="3" t="s">
        <v>713</v>
      </c>
      <c r="C328" s="4" t="s">
        <v>587</v>
      </c>
      <c r="D328" s="230" t="s">
        <v>513</v>
      </c>
      <c r="E328" s="233" t="s">
        <v>2141</v>
      </c>
      <c r="F328" s="108">
        <f t="shared" si="50"/>
        <v>149.86314</v>
      </c>
      <c r="G328" s="106">
        <f t="shared" si="53"/>
        <v>75.02535</v>
      </c>
      <c r="H328" s="106">
        <f t="shared" si="54"/>
        <v>74.83779</v>
      </c>
      <c r="I328" s="119"/>
      <c r="J328" s="119"/>
      <c r="K328" s="119"/>
      <c r="L328" s="119"/>
      <c r="M328" s="119"/>
      <c r="N328" s="119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19"/>
      <c r="Z328" s="119"/>
      <c r="AA328" s="120"/>
      <c r="AB328" s="120"/>
      <c r="AC328" s="119"/>
      <c r="AD328" s="119"/>
      <c r="AE328" s="119"/>
      <c r="AF328" s="119"/>
      <c r="AG328" s="119"/>
      <c r="AH328" s="119"/>
      <c r="AI328" s="119"/>
      <c r="AJ328" s="108">
        <v>0</v>
      </c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20"/>
      <c r="AZ328" s="119"/>
      <c r="BA328" s="119"/>
      <c r="BB328" s="119"/>
      <c r="BC328" s="119">
        <v>75.02535</v>
      </c>
      <c r="BD328" s="119">
        <v>74.83779</v>
      </c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21"/>
      <c r="BR328" s="121"/>
      <c r="BS328" s="121"/>
      <c r="BT328" s="121"/>
      <c r="BU328" s="140"/>
    </row>
    <row r="329" spans="1:73" ht="38.25" customHeight="1" outlineLevel="2">
      <c r="A329" s="35" t="s">
        <v>1488</v>
      </c>
      <c r="B329" s="19" t="s">
        <v>1782</v>
      </c>
      <c r="C329" s="20" t="s">
        <v>587</v>
      </c>
      <c r="D329" s="251" t="s">
        <v>1796</v>
      </c>
      <c r="E329" s="252" t="s">
        <v>2142</v>
      </c>
      <c r="F329" s="108">
        <f t="shared" si="50"/>
        <v>1374</v>
      </c>
      <c r="G329" s="106">
        <f t="shared" si="53"/>
        <v>0</v>
      </c>
      <c r="H329" s="106">
        <f t="shared" si="54"/>
        <v>1374</v>
      </c>
      <c r="I329" s="107"/>
      <c r="J329" s="107"/>
      <c r="K329" s="107"/>
      <c r="L329" s="107"/>
      <c r="M329" s="107"/>
      <c r="N329" s="107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7"/>
      <c r="Z329" s="107"/>
      <c r="AA329" s="106"/>
      <c r="AB329" s="106"/>
      <c r="AC329" s="107"/>
      <c r="AD329" s="107"/>
      <c r="AE329" s="107"/>
      <c r="AF329" s="107"/>
      <c r="AG329" s="107"/>
      <c r="AH329" s="107"/>
      <c r="AI329" s="107"/>
      <c r="AJ329" s="108">
        <v>0</v>
      </c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7"/>
      <c r="AV329" s="107"/>
      <c r="AW329" s="107"/>
      <c r="AX329" s="107"/>
      <c r="AY329" s="106"/>
      <c r="AZ329" s="107"/>
      <c r="BA329" s="107"/>
      <c r="BB329" s="107"/>
      <c r="BC329" s="107"/>
      <c r="BD329" s="107"/>
      <c r="BE329" s="107"/>
      <c r="BF329" s="107"/>
      <c r="BG329" s="107"/>
      <c r="BH329" s="107"/>
      <c r="BI329" s="107"/>
      <c r="BJ329" s="107"/>
      <c r="BK329" s="107"/>
      <c r="BL329" s="107"/>
      <c r="BM329" s="107"/>
      <c r="BN329" s="107"/>
      <c r="BO329" s="107"/>
      <c r="BP329" s="107"/>
      <c r="BQ329" s="109"/>
      <c r="BR329" s="109"/>
      <c r="BS329" s="109">
        <v>1374</v>
      </c>
      <c r="BT329" s="109"/>
      <c r="BU329" s="138"/>
    </row>
    <row r="330" spans="1:73" ht="36.75" customHeight="1" outlineLevel="2" thickBot="1">
      <c r="A330" s="38" t="s">
        <v>1488</v>
      </c>
      <c r="B330" s="42" t="s">
        <v>469</v>
      </c>
      <c r="C330" s="27" t="s">
        <v>934</v>
      </c>
      <c r="D330" s="219" t="s">
        <v>2792</v>
      </c>
      <c r="E330" s="203" t="s">
        <v>2145</v>
      </c>
      <c r="F330" s="108">
        <f t="shared" si="50"/>
        <v>98.70148999999999</v>
      </c>
      <c r="G330" s="106">
        <f t="shared" si="53"/>
        <v>98.10502</v>
      </c>
      <c r="H330" s="106">
        <f t="shared" si="54"/>
        <v>0.59647</v>
      </c>
      <c r="I330" s="113"/>
      <c r="J330" s="113"/>
      <c r="K330" s="113"/>
      <c r="L330" s="113"/>
      <c r="M330" s="113"/>
      <c r="N330" s="113"/>
      <c r="O330" s="114">
        <v>98.10502</v>
      </c>
      <c r="P330" s="114">
        <v>0.59647</v>
      </c>
      <c r="Q330" s="114"/>
      <c r="R330" s="114"/>
      <c r="S330" s="114"/>
      <c r="T330" s="114"/>
      <c r="U330" s="114"/>
      <c r="V330" s="114"/>
      <c r="W330" s="114"/>
      <c r="X330" s="114"/>
      <c r="Y330" s="113"/>
      <c r="Z330" s="113"/>
      <c r="AA330" s="114"/>
      <c r="AB330" s="114"/>
      <c r="AC330" s="113"/>
      <c r="AD330" s="113"/>
      <c r="AE330" s="113"/>
      <c r="AF330" s="113"/>
      <c r="AG330" s="113"/>
      <c r="AH330" s="113"/>
      <c r="AI330" s="113"/>
      <c r="AJ330" s="108">
        <v>0</v>
      </c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4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5"/>
      <c r="BR330" s="115"/>
      <c r="BS330" s="115"/>
      <c r="BT330" s="115"/>
      <c r="BU330" s="139"/>
    </row>
    <row r="331" spans="1:73" s="32" customFormat="1" ht="21" outlineLevel="1" thickBot="1">
      <c r="A331" s="40" t="s">
        <v>242</v>
      </c>
      <c r="B331" s="44"/>
      <c r="C331" s="30" t="s">
        <v>1572</v>
      </c>
      <c r="D331" s="222"/>
      <c r="E331" s="223"/>
      <c r="F331" s="116">
        <f aca="true" t="shared" si="55" ref="F331:BJ331">SUBTOTAL(9,F321:F330)</f>
        <v>14439.84523</v>
      </c>
      <c r="G331" s="116">
        <f t="shared" si="55"/>
        <v>1603.93295</v>
      </c>
      <c r="H331" s="116">
        <f t="shared" si="55"/>
        <v>12835.91228</v>
      </c>
      <c r="I331" s="116">
        <f t="shared" si="55"/>
        <v>110.32368</v>
      </c>
      <c r="J331" s="116">
        <f t="shared" si="55"/>
        <v>20.73972</v>
      </c>
      <c r="K331" s="116">
        <f t="shared" si="55"/>
        <v>0</v>
      </c>
      <c r="L331" s="116">
        <f t="shared" si="55"/>
        <v>0</v>
      </c>
      <c r="M331" s="116">
        <f t="shared" si="55"/>
        <v>0</v>
      </c>
      <c r="N331" s="116">
        <f t="shared" si="55"/>
        <v>0</v>
      </c>
      <c r="O331" s="116">
        <f t="shared" si="55"/>
        <v>98.10502</v>
      </c>
      <c r="P331" s="116">
        <f t="shared" si="55"/>
        <v>0.59647</v>
      </c>
      <c r="Q331" s="116">
        <f t="shared" si="55"/>
        <v>0</v>
      </c>
      <c r="R331" s="116">
        <f t="shared" si="55"/>
        <v>0</v>
      </c>
      <c r="S331" s="116">
        <f t="shared" si="55"/>
        <v>0</v>
      </c>
      <c r="T331" s="116">
        <f t="shared" si="55"/>
        <v>0</v>
      </c>
      <c r="U331" s="116">
        <f t="shared" si="55"/>
        <v>0</v>
      </c>
      <c r="V331" s="116">
        <f t="shared" si="55"/>
        <v>0</v>
      </c>
      <c r="W331" s="116">
        <f t="shared" si="55"/>
        <v>0</v>
      </c>
      <c r="X331" s="116">
        <f t="shared" si="55"/>
        <v>0</v>
      </c>
      <c r="Y331" s="116">
        <f t="shared" si="55"/>
        <v>0</v>
      </c>
      <c r="Z331" s="116">
        <f t="shared" si="55"/>
        <v>0</v>
      </c>
      <c r="AA331" s="116">
        <f t="shared" si="55"/>
        <v>56.75556</v>
      </c>
      <c r="AB331" s="116">
        <f t="shared" si="55"/>
        <v>39.61462</v>
      </c>
      <c r="AC331" s="116">
        <f t="shared" si="55"/>
        <v>0</v>
      </c>
      <c r="AD331" s="116">
        <f t="shared" si="55"/>
        <v>0</v>
      </c>
      <c r="AE331" s="116">
        <f t="shared" si="55"/>
        <v>0</v>
      </c>
      <c r="AF331" s="116">
        <f t="shared" si="55"/>
        <v>0</v>
      </c>
      <c r="AG331" s="116">
        <f t="shared" si="55"/>
        <v>0</v>
      </c>
      <c r="AH331" s="116">
        <f t="shared" si="55"/>
        <v>0</v>
      </c>
      <c r="AI331" s="116">
        <f t="shared" si="55"/>
        <v>0</v>
      </c>
      <c r="AJ331" s="116">
        <v>0</v>
      </c>
      <c r="AK331" s="116"/>
      <c r="AL331" s="116">
        <f t="shared" si="55"/>
        <v>0</v>
      </c>
      <c r="AM331" s="116">
        <f t="shared" si="55"/>
        <v>0</v>
      </c>
      <c r="AN331" s="116">
        <f t="shared" si="55"/>
        <v>0</v>
      </c>
      <c r="AO331" s="116">
        <f t="shared" si="55"/>
        <v>0</v>
      </c>
      <c r="AP331" s="116">
        <f t="shared" si="55"/>
        <v>0</v>
      </c>
      <c r="AQ331" s="116">
        <f t="shared" si="55"/>
        <v>0</v>
      </c>
      <c r="AR331" s="116">
        <f t="shared" si="55"/>
        <v>0</v>
      </c>
      <c r="AS331" s="116">
        <f t="shared" si="55"/>
        <v>0</v>
      </c>
      <c r="AT331" s="116">
        <f t="shared" si="55"/>
        <v>0</v>
      </c>
      <c r="AU331" s="116">
        <f t="shared" si="55"/>
        <v>0</v>
      </c>
      <c r="AV331" s="116">
        <f t="shared" si="55"/>
        <v>0</v>
      </c>
      <c r="AW331" s="116">
        <f t="shared" si="55"/>
        <v>0</v>
      </c>
      <c r="AX331" s="116">
        <f t="shared" si="55"/>
        <v>654.00656</v>
      </c>
      <c r="AY331" s="116">
        <f t="shared" si="55"/>
        <v>391.01634</v>
      </c>
      <c r="AZ331" s="116">
        <f t="shared" si="55"/>
        <v>0</v>
      </c>
      <c r="BA331" s="116">
        <f t="shared" si="55"/>
        <v>0</v>
      </c>
      <c r="BB331" s="116">
        <f t="shared" si="55"/>
        <v>0</v>
      </c>
      <c r="BC331" s="116">
        <f t="shared" si="55"/>
        <v>684.7421300000001</v>
      </c>
      <c r="BD331" s="116">
        <f t="shared" si="55"/>
        <v>672.74513</v>
      </c>
      <c r="BE331" s="116">
        <f t="shared" si="55"/>
        <v>0</v>
      </c>
      <c r="BF331" s="116">
        <f t="shared" si="55"/>
        <v>10337.2</v>
      </c>
      <c r="BG331" s="116">
        <f t="shared" si="55"/>
        <v>0</v>
      </c>
      <c r="BH331" s="116">
        <f t="shared" si="55"/>
        <v>0</v>
      </c>
      <c r="BI331" s="116">
        <f t="shared" si="55"/>
        <v>0</v>
      </c>
      <c r="BJ331" s="116">
        <f t="shared" si="55"/>
        <v>0</v>
      </c>
      <c r="BK331" s="116"/>
      <c r="BL331" s="116">
        <f aca="true" t="shared" si="56" ref="BL331:BU331">SUBTOTAL(9,BL321:BL330)</f>
        <v>0</v>
      </c>
      <c r="BM331" s="116">
        <f t="shared" si="56"/>
        <v>0</v>
      </c>
      <c r="BN331" s="116">
        <f t="shared" si="56"/>
        <v>0</v>
      </c>
      <c r="BO331" s="116">
        <f t="shared" si="56"/>
        <v>0</v>
      </c>
      <c r="BP331" s="116">
        <f t="shared" si="56"/>
        <v>0</v>
      </c>
      <c r="BQ331" s="116">
        <f t="shared" si="56"/>
        <v>0</v>
      </c>
      <c r="BR331" s="116">
        <f t="shared" si="56"/>
        <v>0</v>
      </c>
      <c r="BS331" s="116">
        <f t="shared" si="56"/>
        <v>1374</v>
      </c>
      <c r="BT331" s="116">
        <f t="shared" si="56"/>
        <v>0</v>
      </c>
      <c r="BU331" s="116">
        <f t="shared" si="56"/>
        <v>0</v>
      </c>
    </row>
    <row r="332" spans="1:73" ht="34.5" customHeight="1" outlineLevel="2">
      <c r="A332" s="42" t="s">
        <v>764</v>
      </c>
      <c r="B332" s="42" t="s">
        <v>799</v>
      </c>
      <c r="C332" s="27" t="s">
        <v>1496</v>
      </c>
      <c r="D332" s="253">
        <v>2413005734</v>
      </c>
      <c r="E332" s="203" t="s">
        <v>2146</v>
      </c>
      <c r="F332" s="108">
        <f t="shared" si="50"/>
        <v>289.37815</v>
      </c>
      <c r="G332" s="106">
        <f>I332+K332+O332+S332+U332+W332+Y332+AA332+AC332+AE332+AR332+AX332+BC332+BG332+BP332+BR332+BT332+AO332</f>
        <v>145.42073</v>
      </c>
      <c r="H332" s="106">
        <f>J332+L332+M332+N332+P332+Q332+R332+T332+V332+X332+Z332+AB332+AD332+AF332+AG332+AJ332+AL332+AS332+AT332+AU332+AV332+AW332+AY332+AZ332+BA332+BB332+BD332+BE332+BF332+BH332+BI332+BJ332+BL332+BM332+BN332+BO332+BQ332+BS332+BU332+AH332+AI332+AK332+AM332+AN332+AP332+AQ332+BK332</f>
        <v>143.95742</v>
      </c>
      <c r="I332" s="113"/>
      <c r="J332" s="113"/>
      <c r="K332" s="113"/>
      <c r="L332" s="113"/>
      <c r="M332" s="113"/>
      <c r="N332" s="113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3"/>
      <c r="Z332" s="113"/>
      <c r="AA332" s="114"/>
      <c r="AB332" s="114"/>
      <c r="AC332" s="113"/>
      <c r="AD332" s="113"/>
      <c r="AE332" s="113"/>
      <c r="AF332" s="113"/>
      <c r="AG332" s="113"/>
      <c r="AH332" s="113"/>
      <c r="AI332" s="113"/>
      <c r="AJ332" s="108">
        <v>0</v>
      </c>
      <c r="AK332" s="113">
        <v>1.3555</v>
      </c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4"/>
      <c r="AZ332" s="113"/>
      <c r="BA332" s="113"/>
      <c r="BB332" s="113"/>
      <c r="BC332" s="113">
        <v>145.42073</v>
      </c>
      <c r="BD332" s="113">
        <v>142.60192</v>
      </c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5"/>
      <c r="BR332" s="115"/>
      <c r="BS332" s="115"/>
      <c r="BT332" s="115"/>
      <c r="BU332" s="139"/>
    </row>
    <row r="333" spans="1:73" ht="36" customHeight="1" outlineLevel="2">
      <c r="A333" s="24" t="s">
        <v>764</v>
      </c>
      <c r="B333" s="19" t="s">
        <v>1103</v>
      </c>
      <c r="C333" s="20" t="s">
        <v>1496</v>
      </c>
      <c r="D333" s="218" t="s">
        <v>765</v>
      </c>
      <c r="E333" s="203" t="s">
        <v>2147</v>
      </c>
      <c r="F333" s="108">
        <f t="shared" si="50"/>
        <v>3343.1393</v>
      </c>
      <c r="G333" s="106">
        <f aca="true" t="shared" si="57" ref="G333:G341">I333+K333+O333+S333+U333+W333+Y333+AA333+AC333+AE333+AR333+AX333+BC333+BG333+BP333+BR333+BT333+AO333</f>
        <v>1375.0896400000001</v>
      </c>
      <c r="H333" s="106">
        <f aca="true" t="shared" si="58" ref="H333:H341">J333+L333+M333+N333+P333+Q333+R333+T333+V333+X333+Z333+AB333+AD333+AF333+AG333+AJ333+AL333+AS333+AT333+AU333+AV333+AW333+AY333+AZ333+BA333+BB333+BD333+BE333+BF333+BH333+BI333+BJ333+BL333+BM333+BN333+BO333+BQ333+BS333+BU333+AH333+AI333+AK333+AM333+AN333+AP333+AQ333+BK333</f>
        <v>1968.04966</v>
      </c>
      <c r="I333" s="107"/>
      <c r="J333" s="107"/>
      <c r="K333" s="107"/>
      <c r="L333" s="107"/>
      <c r="M333" s="107"/>
      <c r="N333" s="107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7">
        <v>51.68</v>
      </c>
      <c r="Z333" s="107">
        <v>135.762</v>
      </c>
      <c r="AA333" s="159">
        <v>173.8387</v>
      </c>
      <c r="AB333" s="106">
        <v>99.03655</v>
      </c>
      <c r="AC333" s="107"/>
      <c r="AD333" s="107"/>
      <c r="AE333" s="107"/>
      <c r="AF333" s="107"/>
      <c r="AG333" s="107"/>
      <c r="AH333" s="107"/>
      <c r="AI333" s="107"/>
      <c r="AJ333" s="108">
        <v>178.6316</v>
      </c>
      <c r="AK333" s="107">
        <v>13.7719</v>
      </c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7"/>
      <c r="AV333" s="107"/>
      <c r="AW333" s="107"/>
      <c r="AX333" s="107"/>
      <c r="AY333" s="106"/>
      <c r="AZ333" s="107"/>
      <c r="BA333" s="107">
        <v>40.2332</v>
      </c>
      <c r="BB333" s="107"/>
      <c r="BC333" s="107">
        <v>1149.57094</v>
      </c>
      <c r="BD333" s="107">
        <v>1127.3396</v>
      </c>
      <c r="BE333" s="107"/>
      <c r="BF333" s="107"/>
      <c r="BG333" s="107"/>
      <c r="BH333" s="107"/>
      <c r="BI333" s="107"/>
      <c r="BJ333" s="107">
        <v>373.27481</v>
      </c>
      <c r="BK333" s="107"/>
      <c r="BL333" s="107"/>
      <c r="BM333" s="107"/>
      <c r="BN333" s="107"/>
      <c r="BO333" s="107"/>
      <c r="BP333" s="107"/>
      <c r="BQ333" s="109"/>
      <c r="BR333" s="109"/>
      <c r="BS333" s="109"/>
      <c r="BT333" s="109"/>
      <c r="BU333" s="138"/>
    </row>
    <row r="334" spans="1:73" ht="36.75" customHeight="1" outlineLevel="2">
      <c r="A334" s="35" t="s">
        <v>764</v>
      </c>
      <c r="B334" s="19" t="s">
        <v>1071</v>
      </c>
      <c r="C334" s="20" t="s">
        <v>1496</v>
      </c>
      <c r="D334" s="218" t="s">
        <v>433</v>
      </c>
      <c r="E334" s="203" t="s">
        <v>2148</v>
      </c>
      <c r="F334" s="108">
        <f t="shared" si="50"/>
        <v>20183.67789</v>
      </c>
      <c r="G334" s="106">
        <f t="shared" si="57"/>
        <v>4330.9009</v>
      </c>
      <c r="H334" s="106">
        <f t="shared" si="58"/>
        <v>15852.776989999998</v>
      </c>
      <c r="I334" s="107"/>
      <c r="J334" s="107"/>
      <c r="K334" s="107"/>
      <c r="L334" s="107"/>
      <c r="M334" s="107"/>
      <c r="N334" s="107"/>
      <c r="O334" s="106"/>
      <c r="P334" s="106"/>
      <c r="Q334" s="106"/>
      <c r="R334" s="106"/>
      <c r="S334" s="106"/>
      <c r="T334" s="106"/>
      <c r="U334" s="106"/>
      <c r="V334" s="106"/>
      <c r="W334" s="106">
        <v>861.15161</v>
      </c>
      <c r="X334" s="106">
        <v>449.58143</v>
      </c>
      <c r="Y334" s="107">
        <v>187.264</v>
      </c>
      <c r="Z334" s="107">
        <v>620.8026</v>
      </c>
      <c r="AA334" s="159">
        <v>900.44874</v>
      </c>
      <c r="AB334" s="106">
        <v>495.18273</v>
      </c>
      <c r="AC334" s="107"/>
      <c r="AD334" s="107"/>
      <c r="AE334" s="107"/>
      <c r="AF334" s="107"/>
      <c r="AG334" s="107">
        <v>224.2254</v>
      </c>
      <c r="AH334" s="107"/>
      <c r="AI334" s="107"/>
      <c r="AJ334" s="108">
        <v>973.2184399999999</v>
      </c>
      <c r="AK334" s="107">
        <v>13.3311</v>
      </c>
      <c r="AL334" s="107"/>
      <c r="AM334" s="107"/>
      <c r="AN334" s="107">
        <v>2392.1268</v>
      </c>
      <c r="AO334" s="107"/>
      <c r="AP334" s="107"/>
      <c r="AQ334" s="107"/>
      <c r="AR334" s="107"/>
      <c r="AS334" s="107"/>
      <c r="AT334" s="107"/>
      <c r="AU334" s="107"/>
      <c r="AV334" s="107"/>
      <c r="AW334" s="107"/>
      <c r="AX334" s="107">
        <v>627.37723</v>
      </c>
      <c r="AY334" s="106">
        <v>281.98591</v>
      </c>
      <c r="AZ334" s="107"/>
      <c r="BA334" s="107">
        <f>2408.53648+2812.13275</f>
        <v>5220.66923</v>
      </c>
      <c r="BB334" s="107"/>
      <c r="BC334" s="107">
        <v>1754.65932</v>
      </c>
      <c r="BD334" s="107">
        <v>1720.68011</v>
      </c>
      <c r="BE334" s="107"/>
      <c r="BF334" s="107"/>
      <c r="BG334" s="107"/>
      <c r="BH334" s="107"/>
      <c r="BI334" s="107"/>
      <c r="BJ334" s="107">
        <v>3460.97324</v>
      </c>
      <c r="BK334" s="107"/>
      <c r="BL334" s="107"/>
      <c r="BM334" s="107"/>
      <c r="BN334" s="107"/>
      <c r="BO334" s="107"/>
      <c r="BP334" s="107"/>
      <c r="BQ334" s="109"/>
      <c r="BR334" s="109"/>
      <c r="BS334" s="109"/>
      <c r="BT334" s="109"/>
      <c r="BU334" s="138"/>
    </row>
    <row r="335" spans="1:73" ht="36.75" customHeight="1" outlineLevel="2">
      <c r="A335" s="35" t="s">
        <v>764</v>
      </c>
      <c r="B335" s="19" t="s">
        <v>631</v>
      </c>
      <c r="C335" s="20" t="s">
        <v>1496</v>
      </c>
      <c r="D335" s="218" t="s">
        <v>358</v>
      </c>
      <c r="E335" s="203" t="s">
        <v>2791</v>
      </c>
      <c r="F335" s="108">
        <f t="shared" si="50"/>
        <v>2102.9530099999997</v>
      </c>
      <c r="G335" s="106">
        <f t="shared" si="57"/>
        <v>826.90739</v>
      </c>
      <c r="H335" s="106">
        <f t="shared" si="58"/>
        <v>1276.0456199999999</v>
      </c>
      <c r="I335" s="107"/>
      <c r="J335" s="107"/>
      <c r="K335" s="107"/>
      <c r="L335" s="107"/>
      <c r="M335" s="107"/>
      <c r="N335" s="107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7">
        <v>9.25962</v>
      </c>
      <c r="Z335" s="107">
        <v>43.923</v>
      </c>
      <c r="AA335" s="106">
        <v>54.26506</v>
      </c>
      <c r="AB335" s="106">
        <v>29.71096</v>
      </c>
      <c r="AC335" s="107"/>
      <c r="AD335" s="107"/>
      <c r="AE335" s="107"/>
      <c r="AF335" s="107"/>
      <c r="AG335" s="107">
        <v>47.1027</v>
      </c>
      <c r="AH335" s="107"/>
      <c r="AI335" s="107"/>
      <c r="AJ335" s="108">
        <v>124.51971999999999</v>
      </c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7"/>
      <c r="AX335" s="107"/>
      <c r="AY335" s="106">
        <v>207.90792</v>
      </c>
      <c r="AZ335" s="107"/>
      <c r="BA335" s="107"/>
      <c r="BB335" s="107"/>
      <c r="BC335" s="107">
        <v>763.38271</v>
      </c>
      <c r="BD335" s="107">
        <v>748.62257</v>
      </c>
      <c r="BE335" s="107">
        <v>74.25875</v>
      </c>
      <c r="BF335" s="107"/>
      <c r="BG335" s="107"/>
      <c r="BH335" s="107"/>
      <c r="BI335" s="107"/>
      <c r="BJ335" s="107"/>
      <c r="BK335" s="107"/>
      <c r="BL335" s="107"/>
      <c r="BM335" s="107"/>
      <c r="BN335" s="107"/>
      <c r="BO335" s="107"/>
      <c r="BP335" s="107"/>
      <c r="BQ335" s="109"/>
      <c r="BR335" s="109"/>
      <c r="BS335" s="109"/>
      <c r="BT335" s="109"/>
      <c r="BU335" s="138"/>
    </row>
    <row r="336" spans="1:73" ht="39.75" customHeight="1" outlineLevel="2">
      <c r="A336" s="3" t="s">
        <v>764</v>
      </c>
      <c r="B336" s="3" t="s">
        <v>503</v>
      </c>
      <c r="C336" s="4" t="s">
        <v>587</v>
      </c>
      <c r="D336" s="254">
        <v>241301000060</v>
      </c>
      <c r="E336" s="255" t="s">
        <v>2149</v>
      </c>
      <c r="F336" s="108">
        <f t="shared" si="50"/>
        <v>278.39663</v>
      </c>
      <c r="G336" s="106">
        <f t="shared" si="57"/>
        <v>117.56617</v>
      </c>
      <c r="H336" s="106">
        <f t="shared" si="58"/>
        <v>160.83046000000002</v>
      </c>
      <c r="I336" s="119"/>
      <c r="J336" s="119">
        <v>3.21411</v>
      </c>
      <c r="K336" s="119"/>
      <c r="L336" s="119"/>
      <c r="M336" s="119"/>
      <c r="N336" s="119"/>
      <c r="O336" s="120">
        <v>12.12524</v>
      </c>
      <c r="P336" s="120">
        <v>6.06261</v>
      </c>
      <c r="Q336" s="120"/>
      <c r="R336" s="120"/>
      <c r="S336" s="120"/>
      <c r="T336" s="120"/>
      <c r="U336" s="120"/>
      <c r="V336" s="120"/>
      <c r="W336" s="120"/>
      <c r="X336" s="120"/>
      <c r="Y336" s="119">
        <v>3.04</v>
      </c>
      <c r="Z336" s="119">
        <v>7.986</v>
      </c>
      <c r="AA336" s="120">
        <v>34.62486</v>
      </c>
      <c r="AB336" s="120">
        <v>23.76877</v>
      </c>
      <c r="AC336" s="119"/>
      <c r="AD336" s="119"/>
      <c r="AE336" s="119"/>
      <c r="AF336" s="119"/>
      <c r="AG336" s="119"/>
      <c r="AH336" s="119"/>
      <c r="AI336" s="119"/>
      <c r="AJ336" s="108">
        <v>9.316759999999999</v>
      </c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20"/>
      <c r="AZ336" s="119"/>
      <c r="BA336" s="119"/>
      <c r="BB336" s="119"/>
      <c r="BC336" s="119">
        <v>67.77607</v>
      </c>
      <c r="BD336" s="119">
        <v>66.46324</v>
      </c>
      <c r="BE336" s="119"/>
      <c r="BF336" s="119"/>
      <c r="BG336" s="119"/>
      <c r="BH336" s="119"/>
      <c r="BI336" s="119"/>
      <c r="BJ336" s="119">
        <v>44.01897</v>
      </c>
      <c r="BK336" s="119"/>
      <c r="BL336" s="119"/>
      <c r="BM336" s="119"/>
      <c r="BN336" s="119"/>
      <c r="BO336" s="119"/>
      <c r="BP336" s="119"/>
      <c r="BQ336" s="121"/>
      <c r="BR336" s="121"/>
      <c r="BS336" s="121"/>
      <c r="BT336" s="121"/>
      <c r="BU336" s="140"/>
    </row>
    <row r="337" spans="1:73" ht="39.75" customHeight="1" outlineLevel="2">
      <c r="A337" s="3" t="s">
        <v>764</v>
      </c>
      <c r="B337" s="3" t="s">
        <v>1783</v>
      </c>
      <c r="C337" s="4" t="s">
        <v>587</v>
      </c>
      <c r="D337" s="254">
        <v>241301526216</v>
      </c>
      <c r="E337" s="255" t="s">
        <v>2150</v>
      </c>
      <c r="F337" s="108">
        <f t="shared" si="50"/>
        <v>1728</v>
      </c>
      <c r="G337" s="106">
        <f t="shared" si="57"/>
        <v>0</v>
      </c>
      <c r="H337" s="106">
        <f t="shared" si="58"/>
        <v>1728</v>
      </c>
      <c r="I337" s="119"/>
      <c r="J337" s="119"/>
      <c r="K337" s="119"/>
      <c r="L337" s="119"/>
      <c r="M337" s="119"/>
      <c r="N337" s="119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19"/>
      <c r="Z337" s="119"/>
      <c r="AA337" s="120"/>
      <c r="AB337" s="120"/>
      <c r="AC337" s="119"/>
      <c r="AD337" s="119"/>
      <c r="AE337" s="119"/>
      <c r="AF337" s="119"/>
      <c r="AG337" s="119"/>
      <c r="AH337" s="119"/>
      <c r="AI337" s="119"/>
      <c r="AJ337" s="108">
        <v>0</v>
      </c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20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21">
        <v>243</v>
      </c>
      <c r="BR337" s="121"/>
      <c r="BS337" s="121">
        <v>1485</v>
      </c>
      <c r="BT337" s="121"/>
      <c r="BU337" s="140"/>
    </row>
    <row r="338" spans="1:73" ht="39.75" customHeight="1" outlineLevel="2">
      <c r="A338" s="35" t="s">
        <v>764</v>
      </c>
      <c r="B338" s="19" t="s">
        <v>1134</v>
      </c>
      <c r="C338" s="20" t="s">
        <v>587</v>
      </c>
      <c r="D338" s="218" t="s">
        <v>1129</v>
      </c>
      <c r="E338" s="220" t="s">
        <v>2151</v>
      </c>
      <c r="F338" s="108">
        <f t="shared" si="50"/>
        <v>1573.68025</v>
      </c>
      <c r="G338" s="106">
        <f t="shared" si="57"/>
        <v>193.71416</v>
      </c>
      <c r="H338" s="106">
        <f t="shared" si="58"/>
        <v>1379.96609</v>
      </c>
      <c r="I338" s="107"/>
      <c r="J338" s="107"/>
      <c r="K338" s="107"/>
      <c r="L338" s="107"/>
      <c r="M338" s="107"/>
      <c r="N338" s="107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7"/>
      <c r="Z338" s="107"/>
      <c r="AA338" s="106">
        <v>42.50713</v>
      </c>
      <c r="AB338" s="106">
        <v>29.71096</v>
      </c>
      <c r="AC338" s="107"/>
      <c r="AD338" s="107"/>
      <c r="AE338" s="107"/>
      <c r="AF338" s="107"/>
      <c r="AG338" s="107">
        <v>52.9536</v>
      </c>
      <c r="AH338" s="107"/>
      <c r="AI338" s="107"/>
      <c r="AJ338" s="108">
        <v>0</v>
      </c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>
        <v>31.5</v>
      </c>
      <c r="AV338" s="107">
        <v>482.56</v>
      </c>
      <c r="AW338" s="107"/>
      <c r="AX338" s="107"/>
      <c r="AY338" s="106"/>
      <c r="AZ338" s="107"/>
      <c r="BA338" s="107">
        <v>634.96142</v>
      </c>
      <c r="BB338" s="107"/>
      <c r="BC338" s="107">
        <v>151.20703</v>
      </c>
      <c r="BD338" s="107">
        <v>148.28011</v>
      </c>
      <c r="BE338" s="107"/>
      <c r="BF338" s="107"/>
      <c r="BG338" s="107"/>
      <c r="BH338" s="107"/>
      <c r="BI338" s="107"/>
      <c r="BJ338" s="107"/>
      <c r="BK338" s="107"/>
      <c r="BL338" s="107"/>
      <c r="BM338" s="107"/>
      <c r="BN338" s="107"/>
      <c r="BO338" s="107"/>
      <c r="BP338" s="107"/>
      <c r="BQ338" s="109"/>
      <c r="BR338" s="109"/>
      <c r="BS338" s="109"/>
      <c r="BT338" s="109"/>
      <c r="BU338" s="138"/>
    </row>
    <row r="339" spans="1:73" ht="39.75" customHeight="1" outlineLevel="2">
      <c r="A339" s="35" t="s">
        <v>764</v>
      </c>
      <c r="B339" s="19" t="s">
        <v>1753</v>
      </c>
      <c r="C339" s="20" t="s">
        <v>587</v>
      </c>
      <c r="D339" s="218" t="s">
        <v>1797</v>
      </c>
      <c r="E339" s="220" t="s">
        <v>2152</v>
      </c>
      <c r="F339" s="108">
        <f t="shared" si="50"/>
        <v>1917.5149999999999</v>
      </c>
      <c r="G339" s="106">
        <f t="shared" si="57"/>
        <v>0</v>
      </c>
      <c r="H339" s="106">
        <f t="shared" si="58"/>
        <v>1917.5149999999999</v>
      </c>
      <c r="I339" s="107"/>
      <c r="J339" s="107"/>
      <c r="K339" s="107"/>
      <c r="L339" s="107"/>
      <c r="M339" s="107"/>
      <c r="N339" s="107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7"/>
      <c r="Z339" s="107"/>
      <c r="AA339" s="106"/>
      <c r="AB339" s="106"/>
      <c r="AC339" s="107"/>
      <c r="AD339" s="107"/>
      <c r="AE339" s="107"/>
      <c r="AF339" s="107"/>
      <c r="AG339" s="107"/>
      <c r="AH339" s="107"/>
      <c r="AI339" s="107"/>
      <c r="AJ339" s="108">
        <v>0</v>
      </c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>
        <v>187.68</v>
      </c>
      <c r="AV339" s="107"/>
      <c r="AW339" s="107"/>
      <c r="AX339" s="107"/>
      <c r="AY339" s="106"/>
      <c r="AZ339" s="107"/>
      <c r="BA339" s="107"/>
      <c r="BB339" s="107"/>
      <c r="BC339" s="107"/>
      <c r="BD339" s="107"/>
      <c r="BE339" s="107"/>
      <c r="BF339" s="107"/>
      <c r="BG339" s="107"/>
      <c r="BH339" s="107"/>
      <c r="BI339" s="107"/>
      <c r="BJ339" s="107"/>
      <c r="BK339" s="107"/>
      <c r="BL339" s="107"/>
      <c r="BM339" s="107"/>
      <c r="BN339" s="107"/>
      <c r="BO339" s="107"/>
      <c r="BP339" s="107"/>
      <c r="BQ339" s="109">
        <v>231.073</v>
      </c>
      <c r="BR339" s="109"/>
      <c r="BS339" s="109">
        <v>1498.762</v>
      </c>
      <c r="BT339" s="109"/>
      <c r="BU339" s="138"/>
    </row>
    <row r="340" spans="1:73" ht="39.75" customHeight="1" outlineLevel="2">
      <c r="A340" s="35" t="s">
        <v>764</v>
      </c>
      <c r="B340" s="19" t="s">
        <v>356</v>
      </c>
      <c r="C340" s="20" t="s">
        <v>587</v>
      </c>
      <c r="D340" s="218" t="s">
        <v>357</v>
      </c>
      <c r="E340" s="220" t="s">
        <v>2153</v>
      </c>
      <c r="F340" s="108">
        <f t="shared" si="50"/>
        <v>207.49464</v>
      </c>
      <c r="G340" s="106">
        <f t="shared" si="57"/>
        <v>104.75704</v>
      </c>
      <c r="H340" s="106">
        <f t="shared" si="58"/>
        <v>102.7376</v>
      </c>
      <c r="I340" s="107"/>
      <c r="J340" s="107"/>
      <c r="K340" s="107"/>
      <c r="L340" s="107"/>
      <c r="M340" s="107"/>
      <c r="N340" s="107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7"/>
      <c r="Z340" s="107"/>
      <c r="AA340" s="106"/>
      <c r="AB340" s="106"/>
      <c r="AC340" s="107"/>
      <c r="AD340" s="107"/>
      <c r="AE340" s="107"/>
      <c r="AF340" s="107"/>
      <c r="AG340" s="107"/>
      <c r="AH340" s="107"/>
      <c r="AI340" s="107"/>
      <c r="AJ340" s="108">
        <v>0</v>
      </c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6"/>
      <c r="AZ340" s="107"/>
      <c r="BA340" s="107"/>
      <c r="BB340" s="107"/>
      <c r="BC340" s="107">
        <v>104.75704</v>
      </c>
      <c r="BD340" s="107">
        <v>102.7376</v>
      </c>
      <c r="BE340" s="107"/>
      <c r="BF340" s="107"/>
      <c r="BG340" s="107"/>
      <c r="BH340" s="107"/>
      <c r="BI340" s="107"/>
      <c r="BJ340" s="107"/>
      <c r="BK340" s="107"/>
      <c r="BL340" s="107"/>
      <c r="BM340" s="107"/>
      <c r="BN340" s="107"/>
      <c r="BO340" s="107"/>
      <c r="BP340" s="107"/>
      <c r="BQ340" s="109"/>
      <c r="BR340" s="109"/>
      <c r="BS340" s="109"/>
      <c r="BT340" s="109"/>
      <c r="BU340" s="138"/>
    </row>
    <row r="341" spans="1:73" ht="23.25" customHeight="1" outlineLevel="2" thickBot="1">
      <c r="A341" s="35" t="s">
        <v>764</v>
      </c>
      <c r="B341" s="19" t="s">
        <v>1437</v>
      </c>
      <c r="C341" s="20" t="s">
        <v>710</v>
      </c>
      <c r="D341" s="218" t="s">
        <v>1538</v>
      </c>
      <c r="E341" s="220" t="s">
        <v>2154</v>
      </c>
      <c r="F341" s="108">
        <f t="shared" si="50"/>
        <v>334.70412999999996</v>
      </c>
      <c r="G341" s="106">
        <f t="shared" si="57"/>
        <v>140.10288</v>
      </c>
      <c r="H341" s="106">
        <f t="shared" si="58"/>
        <v>194.60125</v>
      </c>
      <c r="I341" s="107"/>
      <c r="J341" s="107"/>
      <c r="K341" s="107"/>
      <c r="L341" s="107"/>
      <c r="M341" s="107"/>
      <c r="N341" s="107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7"/>
      <c r="Z341" s="107"/>
      <c r="AA341" s="106">
        <v>140.10288</v>
      </c>
      <c r="AB341" s="106">
        <v>99.03655</v>
      </c>
      <c r="AC341" s="107"/>
      <c r="AD341" s="107"/>
      <c r="AE341" s="107"/>
      <c r="AF341" s="107"/>
      <c r="AG341" s="107">
        <v>95.5647</v>
      </c>
      <c r="AH341" s="107"/>
      <c r="AI341" s="107"/>
      <c r="AJ341" s="108">
        <v>0</v>
      </c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7"/>
      <c r="AV341" s="107"/>
      <c r="AW341" s="107"/>
      <c r="AX341" s="107"/>
      <c r="AY341" s="106"/>
      <c r="AZ341" s="107"/>
      <c r="BA341" s="107"/>
      <c r="BB341" s="107"/>
      <c r="BC341" s="107"/>
      <c r="BD341" s="107"/>
      <c r="BE341" s="107"/>
      <c r="BF341" s="107"/>
      <c r="BG341" s="107"/>
      <c r="BH341" s="107"/>
      <c r="BI341" s="107"/>
      <c r="BJ341" s="107"/>
      <c r="BK341" s="107"/>
      <c r="BL341" s="107"/>
      <c r="BM341" s="107"/>
      <c r="BN341" s="107"/>
      <c r="BO341" s="107"/>
      <c r="BP341" s="107"/>
      <c r="BQ341" s="109"/>
      <c r="BR341" s="109"/>
      <c r="BS341" s="109"/>
      <c r="BT341" s="109"/>
      <c r="BU341" s="138"/>
    </row>
    <row r="342" spans="1:73" s="32" customFormat="1" ht="21" outlineLevel="1" thickBot="1">
      <c r="A342" s="40" t="s">
        <v>1350</v>
      </c>
      <c r="B342" s="44"/>
      <c r="C342" s="30" t="s">
        <v>1572</v>
      </c>
      <c r="D342" s="222"/>
      <c r="E342" s="223"/>
      <c r="F342" s="116">
        <f aca="true" t="shared" si="59" ref="F342:AV342">SUBTOTAL(9,F332:F341)</f>
        <v>31958.939</v>
      </c>
      <c r="G342" s="116">
        <f t="shared" si="59"/>
        <v>7234.458910000001</v>
      </c>
      <c r="H342" s="116">
        <f t="shared" si="59"/>
        <v>24724.480089999997</v>
      </c>
      <c r="I342" s="116">
        <f t="shared" si="59"/>
        <v>0</v>
      </c>
      <c r="J342" s="116">
        <f t="shared" si="59"/>
        <v>3.21411</v>
      </c>
      <c r="K342" s="116">
        <f t="shared" si="59"/>
        <v>0</v>
      </c>
      <c r="L342" s="116">
        <f t="shared" si="59"/>
        <v>0</v>
      </c>
      <c r="M342" s="116">
        <f t="shared" si="59"/>
        <v>0</v>
      </c>
      <c r="N342" s="116">
        <f t="shared" si="59"/>
        <v>0</v>
      </c>
      <c r="O342" s="116">
        <f t="shared" si="59"/>
        <v>12.12524</v>
      </c>
      <c r="P342" s="116">
        <f t="shared" si="59"/>
        <v>6.06261</v>
      </c>
      <c r="Q342" s="116">
        <f t="shared" si="59"/>
        <v>0</v>
      </c>
      <c r="R342" s="116">
        <f t="shared" si="59"/>
        <v>0</v>
      </c>
      <c r="S342" s="116">
        <f t="shared" si="59"/>
        <v>0</v>
      </c>
      <c r="T342" s="116">
        <f t="shared" si="59"/>
        <v>0</v>
      </c>
      <c r="U342" s="116">
        <f t="shared" si="59"/>
        <v>0</v>
      </c>
      <c r="V342" s="116">
        <f t="shared" si="59"/>
        <v>0</v>
      </c>
      <c r="W342" s="116">
        <f t="shared" si="59"/>
        <v>861.15161</v>
      </c>
      <c r="X342" s="116">
        <f t="shared" si="59"/>
        <v>449.58143</v>
      </c>
      <c r="Y342" s="116">
        <f t="shared" si="59"/>
        <v>251.24362000000002</v>
      </c>
      <c r="Z342" s="116">
        <f t="shared" si="59"/>
        <v>808.4735999999999</v>
      </c>
      <c r="AA342" s="116">
        <f t="shared" si="59"/>
        <v>1345.7873699999998</v>
      </c>
      <c r="AB342" s="116">
        <f t="shared" si="59"/>
        <v>776.4465200000001</v>
      </c>
      <c r="AC342" s="116">
        <f t="shared" si="59"/>
        <v>0</v>
      </c>
      <c r="AD342" s="116">
        <f t="shared" si="59"/>
        <v>0</v>
      </c>
      <c r="AE342" s="116">
        <f t="shared" si="59"/>
        <v>0</v>
      </c>
      <c r="AF342" s="116">
        <f t="shared" si="59"/>
        <v>0</v>
      </c>
      <c r="AG342" s="116">
        <f t="shared" si="59"/>
        <v>419.8464</v>
      </c>
      <c r="AH342" s="116">
        <f t="shared" si="59"/>
        <v>0</v>
      </c>
      <c r="AI342" s="116">
        <f t="shared" si="59"/>
        <v>0</v>
      </c>
      <c r="AJ342" s="116">
        <f>SUBTOTAL(9,AJ332:AJ341)</f>
        <v>1285.6865199999997</v>
      </c>
      <c r="AK342" s="116">
        <f t="shared" si="59"/>
        <v>28.4585</v>
      </c>
      <c r="AL342" s="116">
        <f t="shared" si="59"/>
        <v>0</v>
      </c>
      <c r="AM342" s="116">
        <f t="shared" si="59"/>
        <v>0</v>
      </c>
      <c r="AN342" s="116">
        <f t="shared" si="59"/>
        <v>2392.1268</v>
      </c>
      <c r="AO342" s="116">
        <f t="shared" si="59"/>
        <v>0</v>
      </c>
      <c r="AP342" s="116">
        <f t="shared" si="59"/>
        <v>0</v>
      </c>
      <c r="AQ342" s="116">
        <f t="shared" si="59"/>
        <v>0</v>
      </c>
      <c r="AR342" s="116">
        <f t="shared" si="59"/>
        <v>0</v>
      </c>
      <c r="AS342" s="116">
        <f t="shared" si="59"/>
        <v>0</v>
      </c>
      <c r="AT342" s="116">
        <f t="shared" si="59"/>
        <v>0</v>
      </c>
      <c r="AU342" s="116">
        <f t="shared" si="59"/>
        <v>219.18</v>
      </c>
      <c r="AV342" s="116">
        <f t="shared" si="59"/>
        <v>482.56</v>
      </c>
      <c r="AW342" s="116">
        <f aca="true" t="shared" si="60" ref="AW342:BU342">SUBTOTAL(9,AW332:AW341)</f>
        <v>0</v>
      </c>
      <c r="AX342" s="116">
        <f t="shared" si="60"/>
        <v>627.37723</v>
      </c>
      <c r="AY342" s="116">
        <f t="shared" si="60"/>
        <v>489.89383</v>
      </c>
      <c r="AZ342" s="116">
        <f t="shared" si="60"/>
        <v>0</v>
      </c>
      <c r="BA342" s="116">
        <f t="shared" si="60"/>
        <v>5895.86385</v>
      </c>
      <c r="BB342" s="116">
        <f t="shared" si="60"/>
        <v>0</v>
      </c>
      <c r="BC342" s="116">
        <f t="shared" si="60"/>
        <v>4136.77384</v>
      </c>
      <c r="BD342" s="116">
        <f t="shared" si="60"/>
        <v>4056.72515</v>
      </c>
      <c r="BE342" s="116">
        <f t="shared" si="60"/>
        <v>74.25875</v>
      </c>
      <c r="BF342" s="116">
        <f t="shared" si="60"/>
        <v>0</v>
      </c>
      <c r="BG342" s="116">
        <f t="shared" si="60"/>
        <v>0</v>
      </c>
      <c r="BH342" s="116">
        <f t="shared" si="60"/>
        <v>0</v>
      </c>
      <c r="BI342" s="116">
        <f t="shared" si="60"/>
        <v>0</v>
      </c>
      <c r="BJ342" s="116">
        <f t="shared" si="60"/>
        <v>3878.26702</v>
      </c>
      <c r="BK342" s="116"/>
      <c r="BL342" s="116">
        <f t="shared" si="60"/>
        <v>0</v>
      </c>
      <c r="BM342" s="116">
        <f t="shared" si="60"/>
        <v>0</v>
      </c>
      <c r="BN342" s="116">
        <f t="shared" si="60"/>
        <v>0</v>
      </c>
      <c r="BO342" s="116">
        <f t="shared" si="60"/>
        <v>0</v>
      </c>
      <c r="BP342" s="116">
        <f t="shared" si="60"/>
        <v>0</v>
      </c>
      <c r="BQ342" s="116">
        <f t="shared" si="60"/>
        <v>474.073</v>
      </c>
      <c r="BR342" s="116">
        <f t="shared" si="60"/>
        <v>0</v>
      </c>
      <c r="BS342" s="116">
        <f t="shared" si="60"/>
        <v>2983.7619999999997</v>
      </c>
      <c r="BT342" s="116">
        <f t="shared" si="60"/>
        <v>0</v>
      </c>
      <c r="BU342" s="116">
        <f t="shared" si="60"/>
        <v>0</v>
      </c>
    </row>
    <row r="343" spans="1:73" ht="30.75" customHeight="1" outlineLevel="2">
      <c r="A343" s="2" t="s">
        <v>1351</v>
      </c>
      <c r="B343" s="3" t="s">
        <v>1104</v>
      </c>
      <c r="C343" s="4" t="s">
        <v>1496</v>
      </c>
      <c r="D343" s="230" t="s">
        <v>546</v>
      </c>
      <c r="E343" s="203" t="s">
        <v>2155</v>
      </c>
      <c r="F343" s="108">
        <f t="shared" si="50"/>
        <v>4932.17268</v>
      </c>
      <c r="G343" s="106">
        <f>I343+K343+O343+S343+U343+W343+Y343+AA343+AC343+AE343+AR343+AX343+BC343+BG343+BP343+BR343+BT343+AO343</f>
        <v>1442.31694</v>
      </c>
      <c r="H343" s="106">
        <f>J343+L343+M343+N343+P343+Q343+R343+T343+V343+X343+Z343+AB343+AD343+AF343+AG343+AJ343+AL343+AS343+AT343+AU343+AV343+AW343+AY343+AZ343+BA343+BB343+BD343+BE343+BF343+BH343+BI343+BJ343+BL343+BM343+BN343+BO343+BQ343+BS343+BU343+AH343+AI343+AK343+AM343+AN343+AP343+AQ343+BK343</f>
        <v>3489.85574</v>
      </c>
      <c r="I343" s="119"/>
      <c r="J343" s="119"/>
      <c r="K343" s="119"/>
      <c r="L343" s="119"/>
      <c r="M343" s="119"/>
      <c r="N343" s="119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19">
        <v>30.4</v>
      </c>
      <c r="Z343" s="119">
        <v>79.86</v>
      </c>
      <c r="AA343" s="163">
        <f>324.33459+201.40444</f>
        <v>525.73903</v>
      </c>
      <c r="AB343" s="120">
        <f>166.18332+103.19608</f>
        <v>269.37940000000003</v>
      </c>
      <c r="AC343" s="119"/>
      <c r="AD343" s="119"/>
      <c r="AE343" s="119"/>
      <c r="AF343" s="119"/>
      <c r="AG343" s="119">
        <v>87.7044</v>
      </c>
      <c r="AH343" s="119"/>
      <c r="AI343" s="119"/>
      <c r="AJ343" s="108">
        <v>285.41717</v>
      </c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>
        <v>1555.84</v>
      </c>
      <c r="AW343" s="119"/>
      <c r="AX343" s="119"/>
      <c r="AY343" s="120"/>
      <c r="AZ343" s="119"/>
      <c r="BA343" s="119"/>
      <c r="BB343" s="119"/>
      <c r="BC343" s="119">
        <v>886.17791</v>
      </c>
      <c r="BD343" s="119">
        <v>869.03078</v>
      </c>
      <c r="BE343" s="119"/>
      <c r="BF343" s="119"/>
      <c r="BG343" s="119"/>
      <c r="BH343" s="119"/>
      <c r="BI343" s="119"/>
      <c r="BJ343" s="119">
        <v>342.62399</v>
      </c>
      <c r="BK343" s="119"/>
      <c r="BL343" s="119"/>
      <c r="BM343" s="119"/>
      <c r="BN343" s="119"/>
      <c r="BO343" s="119"/>
      <c r="BP343" s="119"/>
      <c r="BQ343" s="121"/>
      <c r="BR343" s="121"/>
      <c r="BS343" s="121"/>
      <c r="BT343" s="121"/>
      <c r="BU343" s="140"/>
    </row>
    <row r="344" spans="1:73" ht="38.25" customHeight="1" outlineLevel="2">
      <c r="A344" s="35" t="s">
        <v>1351</v>
      </c>
      <c r="B344" s="19" t="s">
        <v>890</v>
      </c>
      <c r="C344" s="20" t="s">
        <v>1496</v>
      </c>
      <c r="D344" s="218" t="s">
        <v>1130</v>
      </c>
      <c r="E344" s="203" t="s">
        <v>2159</v>
      </c>
      <c r="F344" s="108">
        <f t="shared" si="50"/>
        <v>477.94467</v>
      </c>
      <c r="G344" s="106">
        <f aca="true" t="shared" si="61" ref="G344:G362">I344+K344+O344+S344+U344+W344+Y344+AA344+AC344+AE344+AR344+AX344+BC344+BG344+BP344+BR344+BT344+AO344</f>
        <v>154.75834</v>
      </c>
      <c r="H344" s="106">
        <f aca="true" t="shared" si="62" ref="H344:H362">J344+L344+M344+N344+P344+Q344+R344+T344+V344+X344+Z344+AB344+AD344+AF344+AG344+AJ344+AL344+AS344+AT344+AU344+AV344+AW344+AY344+AZ344+BA344+BB344+BD344+BE344+BF344+BH344+BI344+BJ344+BL344+BM344+BN344+BO344+BQ344+BS344+BU344+AH344+AI344+AK344+AM344+AN344+AP344+AQ344+BK344</f>
        <v>323.18633</v>
      </c>
      <c r="I344" s="107"/>
      <c r="J344" s="107"/>
      <c r="K344" s="107"/>
      <c r="L344" s="107"/>
      <c r="M344" s="107"/>
      <c r="N344" s="107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7"/>
      <c r="Z344" s="107"/>
      <c r="AA344" s="159">
        <v>60.72448</v>
      </c>
      <c r="AB344" s="106">
        <v>39.61462</v>
      </c>
      <c r="AC344" s="107"/>
      <c r="AD344" s="107"/>
      <c r="AE344" s="107"/>
      <c r="AF344" s="107"/>
      <c r="AG344" s="107"/>
      <c r="AH344" s="107"/>
      <c r="AI344" s="107"/>
      <c r="AJ344" s="108">
        <v>0</v>
      </c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>
        <v>191.36</v>
      </c>
      <c r="AW344" s="107"/>
      <c r="AX344" s="107"/>
      <c r="AY344" s="106"/>
      <c r="AZ344" s="107"/>
      <c r="BA344" s="107"/>
      <c r="BB344" s="107"/>
      <c r="BC344" s="107">
        <v>94.03386</v>
      </c>
      <c r="BD344" s="107">
        <v>92.21171</v>
      </c>
      <c r="BE344" s="107"/>
      <c r="BF344" s="107"/>
      <c r="BG344" s="107"/>
      <c r="BH344" s="107"/>
      <c r="BI344" s="107"/>
      <c r="BJ344" s="107"/>
      <c r="BK344" s="107"/>
      <c r="BL344" s="107"/>
      <c r="BM344" s="107"/>
      <c r="BN344" s="107"/>
      <c r="BO344" s="107"/>
      <c r="BP344" s="107"/>
      <c r="BQ344" s="109"/>
      <c r="BR344" s="109"/>
      <c r="BS344" s="109"/>
      <c r="BT344" s="109"/>
      <c r="BU344" s="138"/>
    </row>
    <row r="345" spans="1:73" ht="36.75" customHeight="1" outlineLevel="2">
      <c r="A345" s="35" t="s">
        <v>1351</v>
      </c>
      <c r="B345" s="19" t="s">
        <v>947</v>
      </c>
      <c r="C345" s="20" t="s">
        <v>1496</v>
      </c>
      <c r="D345" s="218" t="s">
        <v>948</v>
      </c>
      <c r="E345" s="203" t="s">
        <v>2160</v>
      </c>
      <c r="F345" s="108">
        <f aca="true" t="shared" si="63" ref="F345:F380">G345+H345</f>
        <v>1801.43058</v>
      </c>
      <c r="G345" s="106">
        <f t="shared" si="61"/>
        <v>923.59197</v>
      </c>
      <c r="H345" s="106">
        <f t="shared" si="62"/>
        <v>877.83861</v>
      </c>
      <c r="I345" s="107">
        <v>35.36102</v>
      </c>
      <c r="J345" s="107">
        <v>8.84026</v>
      </c>
      <c r="K345" s="107">
        <v>369.50333</v>
      </c>
      <c r="L345" s="107">
        <v>73.53794</v>
      </c>
      <c r="M345" s="107">
        <v>185.82084</v>
      </c>
      <c r="N345" s="107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7"/>
      <c r="Z345" s="107"/>
      <c r="AA345" s="159">
        <v>51.00062</v>
      </c>
      <c r="AB345" s="106">
        <v>39.61462</v>
      </c>
      <c r="AC345" s="107"/>
      <c r="AD345" s="107"/>
      <c r="AE345" s="107"/>
      <c r="AF345" s="107"/>
      <c r="AG345" s="107"/>
      <c r="AH345" s="107"/>
      <c r="AI345" s="107"/>
      <c r="AJ345" s="108">
        <v>95.08487</v>
      </c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>
        <v>157.47988</v>
      </c>
      <c r="AY345" s="106">
        <v>74.51062</v>
      </c>
      <c r="AZ345" s="107"/>
      <c r="BA345" s="107"/>
      <c r="BB345" s="107"/>
      <c r="BC345" s="107">
        <v>310.24712</v>
      </c>
      <c r="BD345" s="107">
        <v>304.24433</v>
      </c>
      <c r="BE345" s="107"/>
      <c r="BF345" s="107"/>
      <c r="BG345" s="107"/>
      <c r="BH345" s="107"/>
      <c r="BI345" s="107"/>
      <c r="BJ345" s="107">
        <v>96.18513</v>
      </c>
      <c r="BK345" s="107"/>
      <c r="BL345" s="107"/>
      <c r="BM345" s="107"/>
      <c r="BN345" s="107"/>
      <c r="BO345" s="107"/>
      <c r="BP345" s="107"/>
      <c r="BQ345" s="109"/>
      <c r="BR345" s="109"/>
      <c r="BS345" s="109"/>
      <c r="BT345" s="109"/>
      <c r="BU345" s="138"/>
    </row>
    <row r="346" spans="1:73" ht="36" customHeight="1" outlineLevel="2">
      <c r="A346" s="35" t="s">
        <v>1351</v>
      </c>
      <c r="B346" s="19" t="s">
        <v>459</v>
      </c>
      <c r="C346" s="20" t="s">
        <v>1496</v>
      </c>
      <c r="D346" s="218" t="s">
        <v>951</v>
      </c>
      <c r="E346" s="203" t="s">
        <v>2158</v>
      </c>
      <c r="F346" s="108">
        <f t="shared" si="63"/>
        <v>3900.54275</v>
      </c>
      <c r="G346" s="106">
        <f t="shared" si="61"/>
        <v>1588.62347</v>
      </c>
      <c r="H346" s="106">
        <f t="shared" si="62"/>
        <v>2311.91928</v>
      </c>
      <c r="I346" s="107"/>
      <c r="J346" s="107"/>
      <c r="K346" s="107">
        <v>193.99335</v>
      </c>
      <c r="L346" s="107">
        <v>34.68004</v>
      </c>
      <c r="M346" s="107">
        <v>121.67444</v>
      </c>
      <c r="N346" s="107"/>
      <c r="O346" s="106"/>
      <c r="P346" s="106"/>
      <c r="Q346" s="106">
        <v>171.68459</v>
      </c>
      <c r="R346" s="106"/>
      <c r="S346" s="106"/>
      <c r="T346" s="106"/>
      <c r="U346" s="106"/>
      <c r="V346" s="106"/>
      <c r="W346" s="106"/>
      <c r="X346" s="106"/>
      <c r="Y346" s="107">
        <v>60.8</v>
      </c>
      <c r="Z346" s="107">
        <v>159.72</v>
      </c>
      <c r="AA346" s="159">
        <v>236.05152</v>
      </c>
      <c r="AB346" s="106">
        <v>120.82459</v>
      </c>
      <c r="AC346" s="107"/>
      <c r="AD346" s="107"/>
      <c r="AE346" s="107"/>
      <c r="AF346" s="107"/>
      <c r="AG346" s="107"/>
      <c r="AH346" s="107"/>
      <c r="AI346" s="107"/>
      <c r="AJ346" s="108">
        <v>479.8691</v>
      </c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6"/>
      <c r="AZ346" s="107"/>
      <c r="BA346" s="107"/>
      <c r="BB346" s="107"/>
      <c r="BC346" s="107">
        <v>1097.7786</v>
      </c>
      <c r="BD346" s="107">
        <v>1076.51652</v>
      </c>
      <c r="BE346" s="107">
        <v>146.95</v>
      </c>
      <c r="BF346" s="107"/>
      <c r="BG346" s="107"/>
      <c r="BH346" s="107"/>
      <c r="BI346" s="107"/>
      <c r="BJ346" s="107"/>
      <c r="BK346" s="107"/>
      <c r="BL346" s="107"/>
      <c r="BM346" s="107"/>
      <c r="BN346" s="107"/>
      <c r="BO346" s="107"/>
      <c r="BP346" s="107"/>
      <c r="BQ346" s="109"/>
      <c r="BR346" s="109"/>
      <c r="BS346" s="109"/>
      <c r="BT346" s="109"/>
      <c r="BU346" s="138"/>
    </row>
    <row r="347" spans="1:73" ht="27.75" customHeight="1" outlineLevel="2">
      <c r="A347" s="19" t="s">
        <v>1351</v>
      </c>
      <c r="B347" s="19" t="s">
        <v>441</v>
      </c>
      <c r="C347" s="20" t="s">
        <v>1496</v>
      </c>
      <c r="D347" s="218" t="s">
        <v>249</v>
      </c>
      <c r="E347" s="203" t="s">
        <v>2161</v>
      </c>
      <c r="F347" s="108">
        <f t="shared" si="63"/>
        <v>178.16851000000003</v>
      </c>
      <c r="G347" s="106">
        <f t="shared" si="61"/>
        <v>85.85165</v>
      </c>
      <c r="H347" s="106">
        <f t="shared" si="62"/>
        <v>92.31686</v>
      </c>
      <c r="I347" s="107"/>
      <c r="J347" s="107"/>
      <c r="K347" s="107"/>
      <c r="L347" s="107"/>
      <c r="M347" s="107"/>
      <c r="N347" s="107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7"/>
      <c r="Z347" s="107"/>
      <c r="AA347" s="106"/>
      <c r="AB347" s="106"/>
      <c r="AC347" s="107"/>
      <c r="AD347" s="107"/>
      <c r="AE347" s="107"/>
      <c r="AF347" s="107"/>
      <c r="AG347" s="107"/>
      <c r="AH347" s="107"/>
      <c r="AI347" s="107"/>
      <c r="AJ347" s="108">
        <v>8.13106</v>
      </c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6"/>
      <c r="AZ347" s="107"/>
      <c r="BA347" s="107"/>
      <c r="BB347" s="107"/>
      <c r="BC347" s="107">
        <v>85.85165</v>
      </c>
      <c r="BD347" s="107">
        <v>84.1858</v>
      </c>
      <c r="BE347" s="107"/>
      <c r="BF347" s="107"/>
      <c r="BG347" s="107"/>
      <c r="BH347" s="107"/>
      <c r="BI347" s="107"/>
      <c r="BJ347" s="107"/>
      <c r="BK347" s="107"/>
      <c r="BL347" s="107"/>
      <c r="BM347" s="107"/>
      <c r="BN347" s="107"/>
      <c r="BO347" s="107"/>
      <c r="BP347" s="107"/>
      <c r="BQ347" s="109"/>
      <c r="BR347" s="109"/>
      <c r="BS347" s="109"/>
      <c r="BT347" s="109"/>
      <c r="BU347" s="138"/>
    </row>
    <row r="348" spans="1:73" ht="30.75" customHeight="1" outlineLevel="2">
      <c r="A348" s="35" t="s">
        <v>1351</v>
      </c>
      <c r="B348" s="19" t="s">
        <v>1105</v>
      </c>
      <c r="C348" s="20" t="s">
        <v>1496</v>
      </c>
      <c r="D348" s="218" t="s">
        <v>369</v>
      </c>
      <c r="E348" s="203" t="s">
        <v>2156</v>
      </c>
      <c r="F348" s="108">
        <f t="shared" si="63"/>
        <v>11161.19666</v>
      </c>
      <c r="G348" s="106">
        <f t="shared" si="61"/>
        <v>2021.99546</v>
      </c>
      <c r="H348" s="106">
        <f t="shared" si="62"/>
        <v>9139.2012</v>
      </c>
      <c r="I348" s="107"/>
      <c r="J348" s="107"/>
      <c r="K348" s="107">
        <v>218.58</v>
      </c>
      <c r="L348" s="107">
        <v>42.09168</v>
      </c>
      <c r="M348" s="107"/>
      <c r="N348" s="107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7">
        <v>60.8</v>
      </c>
      <c r="Z348" s="107">
        <v>159.72</v>
      </c>
      <c r="AA348" s="159">
        <v>196.46154</v>
      </c>
      <c r="AB348" s="106">
        <v>99.03655</v>
      </c>
      <c r="AC348" s="107"/>
      <c r="AD348" s="107"/>
      <c r="AE348" s="107"/>
      <c r="AF348" s="107"/>
      <c r="AG348" s="107">
        <v>51.1806</v>
      </c>
      <c r="AH348" s="107"/>
      <c r="AI348" s="107"/>
      <c r="AJ348" s="108">
        <v>464.6204</v>
      </c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7">
        <v>126.45</v>
      </c>
      <c r="AV348" s="107">
        <v>3935.36</v>
      </c>
      <c r="AW348" s="107"/>
      <c r="AX348" s="107"/>
      <c r="AY348" s="106"/>
      <c r="AZ348" s="107"/>
      <c r="BA348" s="107">
        <f>843.61092+513.3861</f>
        <v>1356.99702</v>
      </c>
      <c r="BB348" s="107"/>
      <c r="BC348" s="107">
        <v>1546.15392</v>
      </c>
      <c r="BD348" s="107">
        <v>1516.25314</v>
      </c>
      <c r="BE348" s="124">
        <v>542.14173</v>
      </c>
      <c r="BF348" s="107"/>
      <c r="BG348" s="107"/>
      <c r="BH348" s="107"/>
      <c r="BI348" s="107"/>
      <c r="BJ348" s="107">
        <v>845.35008</v>
      </c>
      <c r="BK348" s="107"/>
      <c r="BL348" s="107"/>
      <c r="BM348" s="107"/>
      <c r="BN348" s="107"/>
      <c r="BO348" s="107"/>
      <c r="BP348" s="107"/>
      <c r="BQ348" s="109"/>
      <c r="BR348" s="109"/>
      <c r="BS348" s="109"/>
      <c r="BT348" s="109"/>
      <c r="BU348" s="138"/>
    </row>
    <row r="349" spans="1:73" ht="31.5" customHeight="1" outlineLevel="2">
      <c r="A349" s="35" t="s">
        <v>1351</v>
      </c>
      <c r="B349" s="19" t="s">
        <v>235</v>
      </c>
      <c r="C349" s="20" t="s">
        <v>1496</v>
      </c>
      <c r="D349" s="218" t="s">
        <v>1408</v>
      </c>
      <c r="E349" s="203" t="s">
        <v>2162</v>
      </c>
      <c r="F349" s="108">
        <f t="shared" si="63"/>
        <v>1339.92769</v>
      </c>
      <c r="G349" s="106">
        <f t="shared" si="61"/>
        <v>243.04161</v>
      </c>
      <c r="H349" s="106">
        <f t="shared" si="62"/>
        <v>1096.88608</v>
      </c>
      <c r="I349" s="107"/>
      <c r="J349" s="107"/>
      <c r="K349" s="107">
        <v>78.84189</v>
      </c>
      <c r="L349" s="107">
        <v>17.19749</v>
      </c>
      <c r="M349" s="107"/>
      <c r="N349" s="107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7">
        <v>15.2</v>
      </c>
      <c r="Z349" s="107">
        <v>39.93</v>
      </c>
      <c r="AA349" s="106">
        <v>67.47164</v>
      </c>
      <c r="AB349" s="106">
        <v>39.61462</v>
      </c>
      <c r="AC349" s="107"/>
      <c r="AD349" s="107"/>
      <c r="AE349" s="107"/>
      <c r="AF349" s="107"/>
      <c r="AG349" s="107">
        <v>34.1598</v>
      </c>
      <c r="AH349" s="107"/>
      <c r="AI349" s="107"/>
      <c r="AJ349" s="108">
        <v>40.71002</v>
      </c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7"/>
      <c r="AV349" s="107">
        <v>66.56</v>
      </c>
      <c r="AW349" s="107"/>
      <c r="AX349" s="107"/>
      <c r="AY349" s="106"/>
      <c r="AZ349" s="107"/>
      <c r="BA349" s="107">
        <v>31.4167</v>
      </c>
      <c r="BB349" s="107"/>
      <c r="BC349" s="107">
        <v>81.52808</v>
      </c>
      <c r="BD349" s="107">
        <v>79.94772</v>
      </c>
      <c r="BE349" s="107"/>
      <c r="BF349" s="107"/>
      <c r="BG349" s="107"/>
      <c r="BH349" s="107"/>
      <c r="BI349" s="107"/>
      <c r="BJ349" s="107">
        <v>480.43973</v>
      </c>
      <c r="BK349" s="107"/>
      <c r="BL349" s="107"/>
      <c r="BM349" s="107">
        <v>266.91</v>
      </c>
      <c r="BN349" s="107"/>
      <c r="BO349" s="107"/>
      <c r="BP349" s="107"/>
      <c r="BQ349" s="109"/>
      <c r="BR349" s="109"/>
      <c r="BS349" s="109"/>
      <c r="BT349" s="109"/>
      <c r="BU349" s="138"/>
    </row>
    <row r="350" spans="1:73" ht="28.5" customHeight="1" outlineLevel="2">
      <c r="A350" s="35" t="s">
        <v>1351</v>
      </c>
      <c r="B350" s="19" t="s">
        <v>1644</v>
      </c>
      <c r="C350" s="20" t="s">
        <v>1496</v>
      </c>
      <c r="D350" s="218" t="s">
        <v>1645</v>
      </c>
      <c r="E350" s="203" t="s">
        <v>2163</v>
      </c>
      <c r="F350" s="108">
        <f t="shared" si="63"/>
        <v>310.3474</v>
      </c>
      <c r="G350" s="106">
        <f t="shared" si="61"/>
        <v>97.88432</v>
      </c>
      <c r="H350" s="106">
        <f t="shared" si="62"/>
        <v>212.46308</v>
      </c>
      <c r="I350" s="107"/>
      <c r="J350" s="107"/>
      <c r="K350" s="107"/>
      <c r="L350" s="107"/>
      <c r="M350" s="107"/>
      <c r="N350" s="107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7"/>
      <c r="Z350" s="107"/>
      <c r="AA350" s="106"/>
      <c r="AB350" s="106"/>
      <c r="AC350" s="107"/>
      <c r="AD350" s="107"/>
      <c r="AE350" s="107"/>
      <c r="AF350" s="107"/>
      <c r="AG350" s="107"/>
      <c r="AH350" s="107"/>
      <c r="AI350" s="107"/>
      <c r="AJ350" s="108">
        <v>0</v>
      </c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7"/>
      <c r="AV350" s="107">
        <v>116.48</v>
      </c>
      <c r="AW350" s="107"/>
      <c r="AX350" s="107"/>
      <c r="AY350" s="106"/>
      <c r="AZ350" s="107"/>
      <c r="BA350" s="107"/>
      <c r="BB350" s="107"/>
      <c r="BC350" s="107">
        <v>97.88432</v>
      </c>
      <c r="BD350" s="107">
        <v>95.98308</v>
      </c>
      <c r="BE350" s="107"/>
      <c r="BF350" s="107"/>
      <c r="BG350" s="107"/>
      <c r="BH350" s="107"/>
      <c r="BI350" s="107"/>
      <c r="BJ350" s="107"/>
      <c r="BK350" s="107"/>
      <c r="BL350" s="107"/>
      <c r="BM350" s="107"/>
      <c r="BN350" s="107"/>
      <c r="BO350" s="107"/>
      <c r="BP350" s="107"/>
      <c r="BQ350" s="109"/>
      <c r="BR350" s="109"/>
      <c r="BS350" s="109"/>
      <c r="BT350" s="109"/>
      <c r="BU350" s="138"/>
    </row>
    <row r="351" spans="1:73" ht="33.75" customHeight="1" outlineLevel="2">
      <c r="A351" s="35" t="s">
        <v>1351</v>
      </c>
      <c r="B351" s="19" t="s">
        <v>949</v>
      </c>
      <c r="C351" s="20" t="s">
        <v>1496</v>
      </c>
      <c r="D351" s="218" t="s">
        <v>950</v>
      </c>
      <c r="E351" s="203" t="s">
        <v>2157</v>
      </c>
      <c r="F351" s="108">
        <f t="shared" si="63"/>
        <v>11318.96661</v>
      </c>
      <c r="G351" s="106">
        <f t="shared" si="61"/>
        <v>5326.55105</v>
      </c>
      <c r="H351" s="106">
        <f t="shared" si="62"/>
        <v>5992.4155599999995</v>
      </c>
      <c r="I351" s="107"/>
      <c r="J351" s="107"/>
      <c r="K351" s="107">
        <v>3033.27112</v>
      </c>
      <c r="L351" s="107">
        <v>587.53317</v>
      </c>
      <c r="M351" s="107">
        <v>291.86247</v>
      </c>
      <c r="N351" s="107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7">
        <v>51.68</v>
      </c>
      <c r="Z351" s="107">
        <v>135.762</v>
      </c>
      <c r="AA351" s="159">
        <v>457.63395</v>
      </c>
      <c r="AB351" s="106">
        <v>237.68771</v>
      </c>
      <c r="AC351" s="107"/>
      <c r="AD351" s="107"/>
      <c r="AE351" s="107"/>
      <c r="AF351" s="107"/>
      <c r="AG351" s="107"/>
      <c r="AH351" s="107"/>
      <c r="AI351" s="107"/>
      <c r="AJ351" s="108">
        <v>1013.10719</v>
      </c>
      <c r="AK351" s="107">
        <v>3.1387</v>
      </c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7">
        <v>83.72</v>
      </c>
      <c r="AV351" s="107">
        <v>923.52</v>
      </c>
      <c r="AW351" s="107"/>
      <c r="AX351" s="107">
        <v>98.16</v>
      </c>
      <c r="AY351" s="106">
        <v>205.51626</v>
      </c>
      <c r="AZ351" s="107"/>
      <c r="BA351" s="107"/>
      <c r="BB351" s="107"/>
      <c r="BC351" s="107">
        <v>1685.80598</v>
      </c>
      <c r="BD351" s="107">
        <v>1653.15854</v>
      </c>
      <c r="BE351" s="107"/>
      <c r="BF351" s="107"/>
      <c r="BG351" s="107"/>
      <c r="BH351" s="107"/>
      <c r="BI351" s="107"/>
      <c r="BJ351" s="107">
        <v>857.40952</v>
      </c>
      <c r="BK351" s="107"/>
      <c r="BL351" s="107"/>
      <c r="BM351" s="107"/>
      <c r="BN351" s="107"/>
      <c r="BO351" s="107"/>
      <c r="BP351" s="107"/>
      <c r="BQ351" s="109"/>
      <c r="BR351" s="109"/>
      <c r="BS351" s="109"/>
      <c r="BT351" s="109"/>
      <c r="BU351" s="138"/>
    </row>
    <row r="352" spans="1:73" ht="36" customHeight="1" outlineLevel="2">
      <c r="A352" s="35" t="s">
        <v>1351</v>
      </c>
      <c r="B352" s="19" t="s">
        <v>732</v>
      </c>
      <c r="C352" s="20" t="s">
        <v>1496</v>
      </c>
      <c r="D352" s="218" t="s">
        <v>1131</v>
      </c>
      <c r="E352" s="203" t="s">
        <v>2794</v>
      </c>
      <c r="F352" s="108">
        <f t="shared" si="63"/>
        <v>1430.19386</v>
      </c>
      <c r="G352" s="106">
        <f t="shared" si="61"/>
        <v>475.13689999999997</v>
      </c>
      <c r="H352" s="106">
        <f t="shared" si="62"/>
        <v>955.0569600000001</v>
      </c>
      <c r="I352" s="107"/>
      <c r="J352" s="107"/>
      <c r="K352" s="107"/>
      <c r="L352" s="107"/>
      <c r="M352" s="107"/>
      <c r="N352" s="107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7">
        <v>19.76</v>
      </c>
      <c r="Z352" s="107">
        <v>51.909</v>
      </c>
      <c r="AA352" s="159">
        <v>138.9122</v>
      </c>
      <c r="AB352" s="106">
        <v>99.03655</v>
      </c>
      <c r="AC352" s="107"/>
      <c r="AD352" s="107"/>
      <c r="AE352" s="107"/>
      <c r="AF352" s="107"/>
      <c r="AG352" s="107"/>
      <c r="AH352" s="107"/>
      <c r="AI352" s="107"/>
      <c r="AJ352" s="108">
        <v>66.46766</v>
      </c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7"/>
      <c r="AV352" s="107"/>
      <c r="AW352" s="107"/>
      <c r="AX352" s="107"/>
      <c r="AY352" s="106"/>
      <c r="AZ352" s="107"/>
      <c r="BA352" s="107">
        <v>427.31605</v>
      </c>
      <c r="BB352" s="107"/>
      <c r="BC352" s="107">
        <v>316.4647</v>
      </c>
      <c r="BD352" s="107">
        <v>310.3277</v>
      </c>
      <c r="BE352" s="107"/>
      <c r="BF352" s="107"/>
      <c r="BG352" s="107"/>
      <c r="BH352" s="107"/>
      <c r="BI352" s="107"/>
      <c r="BJ352" s="107"/>
      <c r="BK352" s="107"/>
      <c r="BL352" s="107"/>
      <c r="BM352" s="107"/>
      <c r="BN352" s="107"/>
      <c r="BO352" s="107"/>
      <c r="BP352" s="107"/>
      <c r="BQ352" s="109"/>
      <c r="BR352" s="109"/>
      <c r="BS352" s="109"/>
      <c r="BT352" s="109"/>
      <c r="BU352" s="138"/>
    </row>
    <row r="353" spans="1:73" ht="43.5" customHeight="1" outlineLevel="2">
      <c r="A353" s="35" t="s">
        <v>1351</v>
      </c>
      <c r="B353" s="19" t="s">
        <v>372</v>
      </c>
      <c r="C353" s="20" t="s">
        <v>1422</v>
      </c>
      <c r="D353" s="218" t="s">
        <v>373</v>
      </c>
      <c r="E353" s="203" t="s">
        <v>2793</v>
      </c>
      <c r="F353" s="108">
        <f t="shared" si="63"/>
        <v>1660.15611</v>
      </c>
      <c r="G353" s="106">
        <f t="shared" si="61"/>
        <v>683.2396200000001</v>
      </c>
      <c r="H353" s="106">
        <f t="shared" si="62"/>
        <v>976.9164899999998</v>
      </c>
      <c r="I353" s="107"/>
      <c r="J353" s="107"/>
      <c r="K353" s="107">
        <v>45.91702</v>
      </c>
      <c r="L353" s="107">
        <v>13.25366</v>
      </c>
      <c r="M353" s="107"/>
      <c r="N353" s="107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7">
        <v>6.7568</v>
      </c>
      <c r="Z353" s="107">
        <v>41.9265</v>
      </c>
      <c r="AA353" s="159">
        <v>25.0042</v>
      </c>
      <c r="AB353" s="106">
        <v>19.80731</v>
      </c>
      <c r="AC353" s="107"/>
      <c r="AD353" s="107"/>
      <c r="AE353" s="107"/>
      <c r="AF353" s="107"/>
      <c r="AG353" s="107"/>
      <c r="AH353" s="107"/>
      <c r="AI353" s="107"/>
      <c r="AJ353" s="108">
        <v>153.86849999999998</v>
      </c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6"/>
      <c r="AZ353" s="107"/>
      <c r="BA353" s="107"/>
      <c r="BB353" s="107"/>
      <c r="BC353" s="107">
        <v>605.5616</v>
      </c>
      <c r="BD353" s="107">
        <v>593.83652</v>
      </c>
      <c r="BE353" s="107"/>
      <c r="BF353" s="107"/>
      <c r="BG353" s="107"/>
      <c r="BH353" s="107"/>
      <c r="BI353" s="107"/>
      <c r="BJ353" s="107"/>
      <c r="BK353" s="107"/>
      <c r="BL353" s="107"/>
      <c r="BM353" s="107">
        <v>154.224</v>
      </c>
      <c r="BN353" s="107"/>
      <c r="BO353" s="107"/>
      <c r="BP353" s="107"/>
      <c r="BQ353" s="109"/>
      <c r="BR353" s="109"/>
      <c r="BS353" s="109"/>
      <c r="BT353" s="109"/>
      <c r="BU353" s="138"/>
    </row>
    <row r="354" spans="1:73" ht="40.5" customHeight="1" outlineLevel="2">
      <c r="A354" s="35" t="s">
        <v>1351</v>
      </c>
      <c r="B354" s="19" t="s">
        <v>662</v>
      </c>
      <c r="C354" s="20" t="s">
        <v>1496</v>
      </c>
      <c r="D354" s="218" t="s">
        <v>974</v>
      </c>
      <c r="E354" s="203" t="s">
        <v>2164</v>
      </c>
      <c r="F354" s="108">
        <f t="shared" si="63"/>
        <v>823.6208399999999</v>
      </c>
      <c r="G354" s="106">
        <f t="shared" si="61"/>
        <v>115.64347</v>
      </c>
      <c r="H354" s="106">
        <f t="shared" si="62"/>
        <v>707.97737</v>
      </c>
      <c r="I354" s="107"/>
      <c r="J354" s="107"/>
      <c r="K354" s="107"/>
      <c r="L354" s="107"/>
      <c r="M354" s="107"/>
      <c r="N354" s="107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7"/>
      <c r="Z354" s="107"/>
      <c r="AA354" s="106"/>
      <c r="AB354" s="106"/>
      <c r="AC354" s="107"/>
      <c r="AD354" s="107"/>
      <c r="AE354" s="107"/>
      <c r="AF354" s="107"/>
      <c r="AG354" s="107"/>
      <c r="AH354" s="107"/>
      <c r="AI354" s="107"/>
      <c r="AJ354" s="108">
        <v>0</v>
      </c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>
        <v>65.78</v>
      </c>
      <c r="AV354" s="107">
        <v>465.92</v>
      </c>
      <c r="AW354" s="107"/>
      <c r="AX354" s="107"/>
      <c r="AY354" s="106"/>
      <c r="AZ354" s="107"/>
      <c r="BA354" s="107">
        <v>62.87295</v>
      </c>
      <c r="BB354" s="107"/>
      <c r="BC354" s="107">
        <v>115.64347</v>
      </c>
      <c r="BD354" s="107">
        <v>113.40442</v>
      </c>
      <c r="BE354" s="107"/>
      <c r="BF354" s="107"/>
      <c r="BG354" s="107"/>
      <c r="BH354" s="107"/>
      <c r="BI354" s="107"/>
      <c r="BJ354" s="107"/>
      <c r="BK354" s="107"/>
      <c r="BL354" s="107"/>
      <c r="BM354" s="107"/>
      <c r="BN354" s="107"/>
      <c r="BO354" s="107"/>
      <c r="BP354" s="107"/>
      <c r="BQ354" s="109"/>
      <c r="BR354" s="109"/>
      <c r="BS354" s="109"/>
      <c r="BT354" s="109"/>
      <c r="BU354" s="138"/>
    </row>
    <row r="355" spans="1:73" ht="31.5" customHeight="1" outlineLevel="2">
      <c r="A355" s="38" t="s">
        <v>1351</v>
      </c>
      <c r="B355" s="42" t="s">
        <v>1106</v>
      </c>
      <c r="C355" s="27" t="s">
        <v>1496</v>
      </c>
      <c r="D355" s="219" t="s">
        <v>1294</v>
      </c>
      <c r="E355" s="203" t="s">
        <v>2165</v>
      </c>
      <c r="F355" s="108">
        <f t="shared" si="63"/>
        <v>887.19007</v>
      </c>
      <c r="G355" s="106">
        <f t="shared" si="61"/>
        <v>199.35538</v>
      </c>
      <c r="H355" s="106">
        <f t="shared" si="62"/>
        <v>687.83469</v>
      </c>
      <c r="I355" s="113"/>
      <c r="J355" s="113"/>
      <c r="K355" s="113"/>
      <c r="L355" s="113"/>
      <c r="M355" s="113"/>
      <c r="N355" s="113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3">
        <v>6.08</v>
      </c>
      <c r="Z355" s="113">
        <v>15.972</v>
      </c>
      <c r="AA355" s="162">
        <v>66.20159</v>
      </c>
      <c r="AB355" s="114">
        <v>47.53754</v>
      </c>
      <c r="AC355" s="113"/>
      <c r="AD355" s="113"/>
      <c r="AE355" s="113"/>
      <c r="AF355" s="113"/>
      <c r="AG355" s="113">
        <v>34.1598</v>
      </c>
      <c r="AH355" s="113"/>
      <c r="AI355" s="113"/>
      <c r="AJ355" s="108">
        <v>56.22555</v>
      </c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  <c r="AU355" s="113">
        <v>36.34</v>
      </c>
      <c r="AV355" s="113">
        <v>341.12</v>
      </c>
      <c r="AW355" s="113"/>
      <c r="AX355" s="113"/>
      <c r="AY355" s="114"/>
      <c r="AZ355" s="113"/>
      <c r="BA355" s="113"/>
      <c r="BB355" s="113"/>
      <c r="BC355" s="113">
        <v>127.07379</v>
      </c>
      <c r="BD355" s="113">
        <v>124.61186</v>
      </c>
      <c r="BE355" s="113"/>
      <c r="BF355" s="113"/>
      <c r="BG355" s="113"/>
      <c r="BH355" s="113"/>
      <c r="BI355" s="113"/>
      <c r="BJ355" s="113">
        <v>31.86794</v>
      </c>
      <c r="BK355" s="113"/>
      <c r="BL355" s="113"/>
      <c r="BM355" s="113"/>
      <c r="BN355" s="113"/>
      <c r="BO355" s="113"/>
      <c r="BP355" s="113"/>
      <c r="BQ355" s="115"/>
      <c r="BR355" s="115"/>
      <c r="BS355" s="115"/>
      <c r="BT355" s="115"/>
      <c r="BU355" s="139"/>
    </row>
    <row r="356" spans="1:73" s="61" customFormat="1" ht="38.25" customHeight="1" outlineLevel="2">
      <c r="A356" s="35" t="s">
        <v>1351</v>
      </c>
      <c r="B356" s="19" t="s">
        <v>1749</v>
      </c>
      <c r="C356" s="20" t="s">
        <v>587</v>
      </c>
      <c r="D356" s="218" t="s">
        <v>1798</v>
      </c>
      <c r="E356" s="220" t="s">
        <v>2166</v>
      </c>
      <c r="F356" s="108">
        <f t="shared" si="63"/>
        <v>54.60728</v>
      </c>
      <c r="G356" s="106">
        <f t="shared" si="61"/>
        <v>30.83851</v>
      </c>
      <c r="H356" s="106">
        <f t="shared" si="62"/>
        <v>23.76877</v>
      </c>
      <c r="I356" s="107"/>
      <c r="J356" s="107"/>
      <c r="K356" s="107"/>
      <c r="L356" s="107"/>
      <c r="M356" s="107"/>
      <c r="N356" s="107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7"/>
      <c r="Z356" s="107"/>
      <c r="AA356" s="159">
        <v>30.83851</v>
      </c>
      <c r="AB356" s="106">
        <v>23.76877</v>
      </c>
      <c r="AC356" s="107"/>
      <c r="AD356" s="107"/>
      <c r="AE356" s="107"/>
      <c r="AF356" s="107"/>
      <c r="AG356" s="107"/>
      <c r="AH356" s="107"/>
      <c r="AI356" s="107"/>
      <c r="AJ356" s="108">
        <v>0</v>
      </c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6"/>
      <c r="AZ356" s="107"/>
      <c r="BA356" s="107"/>
      <c r="BB356" s="107"/>
      <c r="BC356" s="107"/>
      <c r="BD356" s="107"/>
      <c r="BE356" s="107"/>
      <c r="BF356" s="107"/>
      <c r="BG356" s="107"/>
      <c r="BH356" s="107"/>
      <c r="BI356" s="107"/>
      <c r="BJ356" s="107"/>
      <c r="BK356" s="107"/>
      <c r="BL356" s="107"/>
      <c r="BM356" s="107"/>
      <c r="BN356" s="107"/>
      <c r="BO356" s="107"/>
      <c r="BP356" s="107"/>
      <c r="BQ356" s="109"/>
      <c r="BR356" s="109"/>
      <c r="BS356" s="109"/>
      <c r="BT356" s="109"/>
      <c r="BU356" s="138"/>
    </row>
    <row r="357" spans="1:73" s="61" customFormat="1" ht="38.25" customHeight="1" outlineLevel="2">
      <c r="A357" s="35" t="s">
        <v>1351</v>
      </c>
      <c r="B357" s="19" t="s">
        <v>1617</v>
      </c>
      <c r="C357" s="20" t="s">
        <v>587</v>
      </c>
      <c r="D357" s="218" t="s">
        <v>1665</v>
      </c>
      <c r="E357" s="220" t="s">
        <v>2167</v>
      </c>
      <c r="F357" s="108">
        <f t="shared" si="63"/>
        <v>93.41343</v>
      </c>
      <c r="G357" s="106">
        <f t="shared" si="61"/>
        <v>30.35132</v>
      </c>
      <c r="H357" s="106">
        <f t="shared" si="62"/>
        <v>63.06211</v>
      </c>
      <c r="I357" s="107"/>
      <c r="J357" s="107"/>
      <c r="K357" s="107"/>
      <c r="L357" s="107"/>
      <c r="M357" s="107"/>
      <c r="N357" s="107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7"/>
      <c r="Z357" s="107"/>
      <c r="AA357" s="159"/>
      <c r="AB357" s="106"/>
      <c r="AC357" s="107"/>
      <c r="AD357" s="107"/>
      <c r="AE357" s="107"/>
      <c r="AF357" s="107"/>
      <c r="AG357" s="107"/>
      <c r="AH357" s="107"/>
      <c r="AI357" s="107"/>
      <c r="AJ357" s="108">
        <v>0</v>
      </c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7">
        <v>33.3</v>
      </c>
      <c r="AV357" s="107"/>
      <c r="AW357" s="107"/>
      <c r="AX357" s="107"/>
      <c r="AY357" s="106"/>
      <c r="AZ357" s="107"/>
      <c r="BA357" s="107"/>
      <c r="BB357" s="107"/>
      <c r="BC357" s="107">
        <v>30.35132</v>
      </c>
      <c r="BD357" s="107">
        <v>29.76211</v>
      </c>
      <c r="BE357" s="107"/>
      <c r="BF357" s="107"/>
      <c r="BG357" s="107"/>
      <c r="BH357" s="107"/>
      <c r="BI357" s="107"/>
      <c r="BJ357" s="107"/>
      <c r="BK357" s="107"/>
      <c r="BL357" s="107"/>
      <c r="BM357" s="107"/>
      <c r="BN357" s="107"/>
      <c r="BO357" s="107"/>
      <c r="BP357" s="107"/>
      <c r="BQ357" s="109"/>
      <c r="BR357" s="109"/>
      <c r="BS357" s="109"/>
      <c r="BT357" s="109"/>
      <c r="BU357" s="138"/>
    </row>
    <row r="358" spans="1:73" ht="38.25" customHeight="1" outlineLevel="2">
      <c r="A358" s="2" t="s">
        <v>1351</v>
      </c>
      <c r="B358" s="3" t="s">
        <v>800</v>
      </c>
      <c r="C358" s="4" t="s">
        <v>587</v>
      </c>
      <c r="D358" s="230" t="s">
        <v>250</v>
      </c>
      <c r="E358" s="233" t="s">
        <v>2168</v>
      </c>
      <c r="F358" s="108">
        <f t="shared" si="63"/>
        <v>384.92503999999997</v>
      </c>
      <c r="G358" s="106">
        <f t="shared" si="61"/>
        <v>143.21303</v>
      </c>
      <c r="H358" s="106">
        <f t="shared" si="62"/>
        <v>241.71201</v>
      </c>
      <c r="I358" s="119"/>
      <c r="J358" s="119"/>
      <c r="K358" s="119"/>
      <c r="L358" s="119"/>
      <c r="M358" s="119"/>
      <c r="N358" s="119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19">
        <v>15.2</v>
      </c>
      <c r="Z358" s="119">
        <v>59.895</v>
      </c>
      <c r="AA358" s="163">
        <v>42.86434</v>
      </c>
      <c r="AB358" s="120">
        <v>31.69169</v>
      </c>
      <c r="AC358" s="119"/>
      <c r="AD358" s="119"/>
      <c r="AE358" s="119"/>
      <c r="AF358" s="119"/>
      <c r="AG358" s="119"/>
      <c r="AH358" s="119"/>
      <c r="AI358" s="119"/>
      <c r="AJ358" s="108">
        <v>25.7994</v>
      </c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20"/>
      <c r="AZ358" s="119"/>
      <c r="BA358" s="119"/>
      <c r="BB358" s="119"/>
      <c r="BC358" s="119">
        <v>85.14869</v>
      </c>
      <c r="BD358" s="119">
        <v>83.49902</v>
      </c>
      <c r="BE358" s="119"/>
      <c r="BF358" s="119"/>
      <c r="BG358" s="119"/>
      <c r="BH358" s="119"/>
      <c r="BI358" s="119"/>
      <c r="BJ358" s="119">
        <v>40.8269</v>
      </c>
      <c r="BK358" s="119"/>
      <c r="BL358" s="119"/>
      <c r="BM358" s="119"/>
      <c r="BN358" s="119"/>
      <c r="BO358" s="119"/>
      <c r="BP358" s="119"/>
      <c r="BQ358" s="121"/>
      <c r="BR358" s="121"/>
      <c r="BS358" s="121"/>
      <c r="BT358" s="121"/>
      <c r="BU358" s="140"/>
    </row>
    <row r="359" spans="1:73" ht="23.25" customHeight="1" outlineLevel="2">
      <c r="A359" s="35" t="s">
        <v>1351</v>
      </c>
      <c r="B359" s="19" t="s">
        <v>370</v>
      </c>
      <c r="C359" s="20" t="s">
        <v>934</v>
      </c>
      <c r="D359" s="218" t="s">
        <v>371</v>
      </c>
      <c r="E359" s="203" t="s">
        <v>2171</v>
      </c>
      <c r="F359" s="108">
        <f t="shared" si="63"/>
        <v>945.5754</v>
      </c>
      <c r="G359" s="106">
        <f t="shared" si="61"/>
        <v>0</v>
      </c>
      <c r="H359" s="106">
        <f t="shared" si="62"/>
        <v>945.5754</v>
      </c>
      <c r="I359" s="107"/>
      <c r="J359" s="107"/>
      <c r="K359" s="107"/>
      <c r="L359" s="107"/>
      <c r="M359" s="107"/>
      <c r="N359" s="107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7"/>
      <c r="Z359" s="107"/>
      <c r="AA359" s="106"/>
      <c r="AB359" s="106"/>
      <c r="AC359" s="107"/>
      <c r="AD359" s="107"/>
      <c r="AE359" s="107"/>
      <c r="AF359" s="107"/>
      <c r="AG359" s="107"/>
      <c r="AH359" s="107"/>
      <c r="AI359" s="107"/>
      <c r="AJ359" s="108">
        <v>0</v>
      </c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6"/>
      <c r="AZ359" s="107"/>
      <c r="BA359" s="107"/>
      <c r="BB359" s="107"/>
      <c r="BC359" s="107"/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7"/>
      <c r="BN359" s="107">
        <v>945.5754</v>
      </c>
      <c r="BO359" s="107"/>
      <c r="BP359" s="107"/>
      <c r="BQ359" s="109"/>
      <c r="BR359" s="109"/>
      <c r="BS359" s="109"/>
      <c r="BT359" s="109"/>
      <c r="BU359" s="138"/>
    </row>
    <row r="360" spans="1:73" ht="33" customHeight="1" outlineLevel="2">
      <c r="A360" s="35" t="s">
        <v>1351</v>
      </c>
      <c r="B360" s="19" t="s">
        <v>784</v>
      </c>
      <c r="C360" s="20" t="s">
        <v>934</v>
      </c>
      <c r="D360" s="218" t="s">
        <v>1468</v>
      </c>
      <c r="E360" s="203" t="s">
        <v>2164</v>
      </c>
      <c r="F360" s="108">
        <f t="shared" si="63"/>
        <v>1066.93664</v>
      </c>
      <c r="G360" s="106">
        <f t="shared" si="61"/>
        <v>0</v>
      </c>
      <c r="H360" s="106">
        <f t="shared" si="62"/>
        <v>1066.93664</v>
      </c>
      <c r="I360" s="107"/>
      <c r="J360" s="107"/>
      <c r="K360" s="107"/>
      <c r="L360" s="107"/>
      <c r="M360" s="107"/>
      <c r="N360" s="107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7"/>
      <c r="Z360" s="107"/>
      <c r="AA360" s="106"/>
      <c r="AB360" s="106"/>
      <c r="AC360" s="107"/>
      <c r="AD360" s="107"/>
      <c r="AE360" s="107"/>
      <c r="AF360" s="107"/>
      <c r="AG360" s="107"/>
      <c r="AH360" s="107"/>
      <c r="AI360" s="107"/>
      <c r="AJ360" s="108">
        <v>0</v>
      </c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7"/>
      <c r="AV360" s="107"/>
      <c r="AW360" s="107"/>
      <c r="AX360" s="107"/>
      <c r="AY360" s="106"/>
      <c r="AZ360" s="107"/>
      <c r="BA360" s="107"/>
      <c r="BB360" s="107"/>
      <c r="BC360" s="107"/>
      <c r="BD360" s="107"/>
      <c r="BE360" s="107"/>
      <c r="BF360" s="107"/>
      <c r="BG360" s="107"/>
      <c r="BH360" s="107"/>
      <c r="BI360" s="107"/>
      <c r="BJ360" s="107"/>
      <c r="BK360" s="107"/>
      <c r="BL360" s="107"/>
      <c r="BM360" s="107"/>
      <c r="BN360" s="107">
        <v>1066.93664</v>
      </c>
      <c r="BO360" s="107"/>
      <c r="BP360" s="107"/>
      <c r="BQ360" s="109"/>
      <c r="BR360" s="109"/>
      <c r="BS360" s="109"/>
      <c r="BT360" s="109"/>
      <c r="BU360" s="138"/>
    </row>
    <row r="361" spans="1:73" ht="33.75" customHeight="1" outlineLevel="2">
      <c r="A361" s="35" t="s">
        <v>1351</v>
      </c>
      <c r="B361" s="19" t="s">
        <v>374</v>
      </c>
      <c r="C361" s="20" t="s">
        <v>934</v>
      </c>
      <c r="D361" s="218" t="s">
        <v>375</v>
      </c>
      <c r="E361" s="203" t="s">
        <v>2169</v>
      </c>
      <c r="F361" s="108">
        <f t="shared" si="63"/>
        <v>9365.302810000001</v>
      </c>
      <c r="G361" s="106">
        <f t="shared" si="61"/>
        <v>0</v>
      </c>
      <c r="H361" s="106">
        <f t="shared" si="62"/>
        <v>9365.302810000001</v>
      </c>
      <c r="I361" s="107"/>
      <c r="J361" s="107"/>
      <c r="K361" s="107"/>
      <c r="L361" s="107"/>
      <c r="M361" s="107"/>
      <c r="N361" s="107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7"/>
      <c r="Z361" s="107"/>
      <c r="AA361" s="106"/>
      <c r="AB361" s="106"/>
      <c r="AC361" s="107"/>
      <c r="AD361" s="107"/>
      <c r="AE361" s="107"/>
      <c r="AF361" s="107"/>
      <c r="AG361" s="107"/>
      <c r="AH361" s="107"/>
      <c r="AI361" s="107"/>
      <c r="AJ361" s="108">
        <v>0</v>
      </c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6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>
        <v>452.60024</v>
      </c>
      <c r="BK361" s="107"/>
      <c r="BL361" s="107"/>
      <c r="BM361" s="107">
        <v>1133.0941</v>
      </c>
      <c r="BN361" s="107">
        <v>7779.60847</v>
      </c>
      <c r="BO361" s="107"/>
      <c r="BP361" s="107"/>
      <c r="BQ361" s="109"/>
      <c r="BR361" s="109"/>
      <c r="BS361" s="109"/>
      <c r="BT361" s="109"/>
      <c r="BU361" s="138"/>
    </row>
    <row r="362" spans="1:73" ht="30.75" customHeight="1" outlineLevel="2">
      <c r="A362" s="35" t="s">
        <v>1351</v>
      </c>
      <c r="B362" s="19" t="s">
        <v>529</v>
      </c>
      <c r="C362" s="20" t="s">
        <v>1422</v>
      </c>
      <c r="D362" s="218" t="s">
        <v>2795</v>
      </c>
      <c r="E362" s="224" t="s">
        <v>2170</v>
      </c>
      <c r="F362" s="108">
        <f t="shared" si="63"/>
        <v>30.72633</v>
      </c>
      <c r="G362" s="106">
        <f t="shared" si="61"/>
        <v>0</v>
      </c>
      <c r="H362" s="106">
        <f t="shared" si="62"/>
        <v>30.72633</v>
      </c>
      <c r="I362" s="107"/>
      <c r="J362" s="107"/>
      <c r="K362" s="107"/>
      <c r="L362" s="107"/>
      <c r="M362" s="107"/>
      <c r="N362" s="107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7"/>
      <c r="Z362" s="107"/>
      <c r="AA362" s="106"/>
      <c r="AB362" s="106"/>
      <c r="AC362" s="107"/>
      <c r="AD362" s="107"/>
      <c r="AE362" s="107"/>
      <c r="AF362" s="107"/>
      <c r="AG362" s="107"/>
      <c r="AH362" s="107"/>
      <c r="AI362" s="107"/>
      <c r="AJ362" s="108">
        <v>30.72633</v>
      </c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6"/>
      <c r="AZ362" s="107"/>
      <c r="BA362" s="107"/>
      <c r="BB362" s="107"/>
      <c r="BC362" s="107"/>
      <c r="BD362" s="107"/>
      <c r="BE362" s="107"/>
      <c r="BF362" s="107"/>
      <c r="BG362" s="107"/>
      <c r="BH362" s="107"/>
      <c r="BI362" s="107"/>
      <c r="BJ362" s="107"/>
      <c r="BK362" s="107"/>
      <c r="BL362" s="107"/>
      <c r="BM362" s="107"/>
      <c r="BN362" s="107"/>
      <c r="BO362" s="107"/>
      <c r="BP362" s="107"/>
      <c r="BQ362" s="109"/>
      <c r="BR362" s="109"/>
      <c r="BS362" s="109"/>
      <c r="BT362" s="109"/>
      <c r="BU362" s="138"/>
    </row>
    <row r="363" spans="1:73" s="32" customFormat="1" ht="21" outlineLevel="1" thickBot="1">
      <c r="A363" s="65" t="s">
        <v>149</v>
      </c>
      <c r="B363" s="68"/>
      <c r="C363" s="67" t="s">
        <v>1572</v>
      </c>
      <c r="D363" s="231"/>
      <c r="E363" s="232"/>
      <c r="F363" s="127">
        <f aca="true" t="shared" si="64" ref="F363:AV363">SUBTOTAL(9,F343:F362)</f>
        <v>52163.34535999999</v>
      </c>
      <c r="G363" s="127">
        <f t="shared" si="64"/>
        <v>13562.39304</v>
      </c>
      <c r="H363" s="127">
        <f t="shared" si="64"/>
        <v>38600.95232</v>
      </c>
      <c r="I363" s="127">
        <f t="shared" si="64"/>
        <v>35.36102</v>
      </c>
      <c r="J363" s="127">
        <f t="shared" si="64"/>
        <v>8.84026</v>
      </c>
      <c r="K363" s="127">
        <f t="shared" si="64"/>
        <v>3940.10671</v>
      </c>
      <c r="L363" s="127">
        <f t="shared" si="64"/>
        <v>768.29398</v>
      </c>
      <c r="M363" s="127">
        <f t="shared" si="64"/>
        <v>599.3577499999999</v>
      </c>
      <c r="N363" s="127">
        <f t="shared" si="64"/>
        <v>0</v>
      </c>
      <c r="O363" s="127">
        <f t="shared" si="64"/>
        <v>0</v>
      </c>
      <c r="P363" s="127">
        <f t="shared" si="64"/>
        <v>0</v>
      </c>
      <c r="Q363" s="127">
        <f t="shared" si="64"/>
        <v>171.68459</v>
      </c>
      <c r="R363" s="127">
        <f t="shared" si="64"/>
        <v>0</v>
      </c>
      <c r="S363" s="127">
        <f t="shared" si="64"/>
        <v>0</v>
      </c>
      <c r="T363" s="127">
        <f t="shared" si="64"/>
        <v>0</v>
      </c>
      <c r="U363" s="127">
        <f t="shared" si="64"/>
        <v>0</v>
      </c>
      <c r="V363" s="127">
        <f t="shared" si="64"/>
        <v>0</v>
      </c>
      <c r="W363" s="127">
        <f t="shared" si="64"/>
        <v>0</v>
      </c>
      <c r="X363" s="127">
        <f t="shared" si="64"/>
        <v>0</v>
      </c>
      <c r="Y363" s="127">
        <f t="shared" si="64"/>
        <v>266.6768</v>
      </c>
      <c r="Z363" s="127">
        <f t="shared" si="64"/>
        <v>744.6945</v>
      </c>
      <c r="AA363" s="127">
        <f t="shared" si="64"/>
        <v>1898.9036200000003</v>
      </c>
      <c r="AB363" s="127">
        <f t="shared" si="64"/>
        <v>1067.61397</v>
      </c>
      <c r="AC363" s="127">
        <f t="shared" si="64"/>
        <v>0</v>
      </c>
      <c r="AD363" s="127">
        <f t="shared" si="64"/>
        <v>0</v>
      </c>
      <c r="AE363" s="127">
        <f t="shared" si="64"/>
        <v>0</v>
      </c>
      <c r="AF363" s="127">
        <f t="shared" si="64"/>
        <v>0</v>
      </c>
      <c r="AG363" s="127">
        <f t="shared" si="64"/>
        <v>207.20459999999997</v>
      </c>
      <c r="AH363" s="127">
        <f t="shared" si="64"/>
        <v>0</v>
      </c>
      <c r="AI363" s="127">
        <f t="shared" si="64"/>
        <v>0</v>
      </c>
      <c r="AJ363" s="127">
        <f>SUBTOTAL(9,AJ343:AJ362)</f>
        <v>2720.0272499999996</v>
      </c>
      <c r="AK363" s="127">
        <f t="shared" si="64"/>
        <v>3.1387</v>
      </c>
      <c r="AL363" s="127">
        <f t="shared" si="64"/>
        <v>0</v>
      </c>
      <c r="AM363" s="127">
        <f t="shared" si="64"/>
        <v>0</v>
      </c>
      <c r="AN363" s="127">
        <f t="shared" si="64"/>
        <v>0</v>
      </c>
      <c r="AO363" s="127">
        <f t="shared" si="64"/>
        <v>0</v>
      </c>
      <c r="AP363" s="127">
        <f t="shared" si="64"/>
        <v>0</v>
      </c>
      <c r="AQ363" s="127">
        <f t="shared" si="64"/>
        <v>0</v>
      </c>
      <c r="AR363" s="127">
        <f t="shared" si="64"/>
        <v>0</v>
      </c>
      <c r="AS363" s="127">
        <f t="shared" si="64"/>
        <v>0</v>
      </c>
      <c r="AT363" s="127">
        <f t="shared" si="64"/>
        <v>0</v>
      </c>
      <c r="AU363" s="127">
        <f t="shared" si="64"/>
        <v>345.5900000000001</v>
      </c>
      <c r="AV363" s="127">
        <f t="shared" si="64"/>
        <v>7596.159999999999</v>
      </c>
      <c r="AW363" s="127">
        <f aca="true" t="shared" si="65" ref="AW363:BU363">SUBTOTAL(9,AW343:AW362)</f>
        <v>0</v>
      </c>
      <c r="AX363" s="127">
        <f t="shared" si="65"/>
        <v>255.63988</v>
      </c>
      <c r="AY363" s="127">
        <f t="shared" si="65"/>
        <v>280.02688</v>
      </c>
      <c r="AZ363" s="127">
        <f t="shared" si="65"/>
        <v>0</v>
      </c>
      <c r="BA363" s="127">
        <f t="shared" si="65"/>
        <v>1878.6027199999999</v>
      </c>
      <c r="BB363" s="127">
        <f t="shared" si="65"/>
        <v>0</v>
      </c>
      <c r="BC363" s="127">
        <f t="shared" si="65"/>
        <v>7165.70501</v>
      </c>
      <c r="BD363" s="127">
        <f t="shared" si="65"/>
        <v>7026.973249999999</v>
      </c>
      <c r="BE363" s="127">
        <f t="shared" si="65"/>
        <v>689.0917300000001</v>
      </c>
      <c r="BF363" s="127">
        <f t="shared" si="65"/>
        <v>0</v>
      </c>
      <c r="BG363" s="127">
        <f t="shared" si="65"/>
        <v>0</v>
      </c>
      <c r="BH363" s="127">
        <f t="shared" si="65"/>
        <v>0</v>
      </c>
      <c r="BI363" s="127">
        <f t="shared" si="65"/>
        <v>0</v>
      </c>
      <c r="BJ363" s="127">
        <f t="shared" si="65"/>
        <v>3147.30353</v>
      </c>
      <c r="BK363" s="127"/>
      <c r="BL363" s="127">
        <f t="shared" si="65"/>
        <v>0</v>
      </c>
      <c r="BM363" s="127">
        <f t="shared" si="65"/>
        <v>1554.2281</v>
      </c>
      <c r="BN363" s="127">
        <f t="shared" si="65"/>
        <v>9792.12051</v>
      </c>
      <c r="BO363" s="127">
        <f t="shared" si="65"/>
        <v>0</v>
      </c>
      <c r="BP363" s="127">
        <f t="shared" si="65"/>
        <v>0</v>
      </c>
      <c r="BQ363" s="127">
        <f t="shared" si="65"/>
        <v>0</v>
      </c>
      <c r="BR363" s="127">
        <f t="shared" si="65"/>
        <v>0</v>
      </c>
      <c r="BS363" s="127">
        <f t="shared" si="65"/>
        <v>0</v>
      </c>
      <c r="BT363" s="127">
        <f t="shared" si="65"/>
        <v>0</v>
      </c>
      <c r="BU363" s="127">
        <f t="shared" si="65"/>
        <v>0</v>
      </c>
    </row>
    <row r="364" spans="1:73" ht="33.75" customHeight="1" outlineLevel="2">
      <c r="A364" s="35" t="s">
        <v>150</v>
      </c>
      <c r="B364" s="19" t="s">
        <v>1108</v>
      </c>
      <c r="C364" s="20" t="s">
        <v>1496</v>
      </c>
      <c r="D364" s="218" t="s">
        <v>762</v>
      </c>
      <c r="E364" s="203" t="s">
        <v>2173</v>
      </c>
      <c r="F364" s="108">
        <f t="shared" si="63"/>
        <v>1208.6227</v>
      </c>
      <c r="G364" s="106">
        <f>I364+K364+O364+S364+U364+W364+Y364+AA364+AC364+AE364+AR364+AX364+BC364+BG364+BP364+BR364+BT364+AO364</f>
        <v>542.72622</v>
      </c>
      <c r="H364" s="106">
        <f>J364+L364+M364+N364+P364+Q364+R364+T364+V364+X364+Z364+AB364+AD364+AF364+AG364+AJ364+AL364+AS364+AT364+AU364+AV364+AW364+AY364+AZ364+BA364+BB364+BD364+BE364+BF364+BH364+BI364+BJ364+BL364+BM364+BN364+BO364+BQ364+BS364+BU364+AH364+AI364+AK364+AM364+AN364+AP364+AQ364+BK364</f>
        <v>665.89648</v>
      </c>
      <c r="I364" s="107"/>
      <c r="J364" s="107"/>
      <c r="K364" s="107"/>
      <c r="L364" s="107"/>
      <c r="M364" s="107"/>
      <c r="N364" s="107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7"/>
      <c r="Z364" s="107"/>
      <c r="AA364" s="159">
        <v>166.22829</v>
      </c>
      <c r="AB364" s="106">
        <v>108.9402</v>
      </c>
      <c r="AC364" s="107"/>
      <c r="AD364" s="107"/>
      <c r="AE364" s="107"/>
      <c r="AF364" s="107"/>
      <c r="AG364" s="107"/>
      <c r="AH364" s="107"/>
      <c r="AI364" s="107"/>
      <c r="AJ364" s="108">
        <v>24.73512</v>
      </c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7"/>
      <c r="AX364" s="107">
        <v>18.3536</v>
      </c>
      <c r="AY364" s="106">
        <v>56.28749</v>
      </c>
      <c r="AZ364" s="107"/>
      <c r="BA364" s="107"/>
      <c r="BB364" s="107"/>
      <c r="BC364" s="107">
        <v>358.14433</v>
      </c>
      <c r="BD364" s="107">
        <v>351.2098</v>
      </c>
      <c r="BE364" s="107">
        <v>47.68327</v>
      </c>
      <c r="BF364" s="107"/>
      <c r="BG364" s="107"/>
      <c r="BH364" s="107"/>
      <c r="BI364" s="107"/>
      <c r="BJ364" s="107"/>
      <c r="BK364" s="107"/>
      <c r="BL364" s="107"/>
      <c r="BM364" s="107">
        <v>77.0406</v>
      </c>
      <c r="BN364" s="107"/>
      <c r="BO364" s="107"/>
      <c r="BP364" s="107"/>
      <c r="BQ364" s="109"/>
      <c r="BR364" s="109"/>
      <c r="BS364" s="109"/>
      <c r="BT364" s="109"/>
      <c r="BU364" s="138"/>
    </row>
    <row r="365" spans="1:73" ht="38.25" customHeight="1" outlineLevel="2">
      <c r="A365" s="38" t="s">
        <v>150</v>
      </c>
      <c r="B365" s="42" t="s">
        <v>453</v>
      </c>
      <c r="C365" s="27" t="s">
        <v>1496</v>
      </c>
      <c r="D365" s="219" t="s">
        <v>454</v>
      </c>
      <c r="E365" s="203" t="s">
        <v>2172</v>
      </c>
      <c r="F365" s="108">
        <f t="shared" si="63"/>
        <v>3529.09119</v>
      </c>
      <c r="G365" s="106">
        <f aca="true" t="shared" si="66" ref="G365:G380">I365+K365+O365+S365+U365+W365+Y365+AA365+AC365+AE365+AR365+AX365+BC365+BG365+BP365+BR365+BT365+AO365</f>
        <v>2047.58146</v>
      </c>
      <c r="H365" s="106">
        <f aca="true" t="shared" si="67" ref="H365:H380">J365+L365+M365+N365+P365+Q365+R365+T365+V365+X365+Z365+AB365+AD365+AF365+AG365+AJ365+AL365+AS365+AT365+AU365+AV365+AW365+AY365+AZ365+BA365+BB365+BD365+BE365+BF365+BH365+BI365+BJ365+BL365+BM365+BN365+BO365+BQ365+BS365+BU365+AH365+AI365+AK365+AM365+AN365+AP365+AQ365+BK365</f>
        <v>1481.50973</v>
      </c>
      <c r="I365" s="113"/>
      <c r="J365" s="113"/>
      <c r="K365" s="113"/>
      <c r="L365" s="113"/>
      <c r="M365" s="113"/>
      <c r="N365" s="113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3"/>
      <c r="Z365" s="113"/>
      <c r="AA365" s="162">
        <v>273.35937</v>
      </c>
      <c r="AB365" s="114">
        <v>188.16944</v>
      </c>
      <c r="AC365" s="113"/>
      <c r="AD365" s="113"/>
      <c r="AE365" s="113"/>
      <c r="AF365" s="113"/>
      <c r="AG365" s="113"/>
      <c r="AH365" s="113"/>
      <c r="AI365" s="113"/>
      <c r="AJ365" s="108">
        <v>0</v>
      </c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>
        <v>694.69718</v>
      </c>
      <c r="AY365" s="114">
        <v>234.70546</v>
      </c>
      <c r="AZ365" s="113"/>
      <c r="BA365" s="113"/>
      <c r="BB365" s="113"/>
      <c r="BC365" s="113">
        <v>1079.52491</v>
      </c>
      <c r="BD365" s="113">
        <v>1058.63483</v>
      </c>
      <c r="BE365" s="113"/>
      <c r="BF365" s="113"/>
      <c r="BG365" s="113"/>
      <c r="BH365" s="113"/>
      <c r="BI365" s="113"/>
      <c r="BJ365" s="113"/>
      <c r="BK365" s="113"/>
      <c r="BL365" s="113"/>
      <c r="BM365" s="113"/>
      <c r="BN365" s="113"/>
      <c r="BO365" s="113"/>
      <c r="BP365" s="113"/>
      <c r="BQ365" s="115"/>
      <c r="BR365" s="115"/>
      <c r="BS365" s="115"/>
      <c r="BT365" s="115"/>
      <c r="BU365" s="139"/>
    </row>
    <row r="366" spans="1:73" ht="32.25" customHeight="1" outlineLevel="2">
      <c r="A366" s="35" t="s">
        <v>150</v>
      </c>
      <c r="B366" s="19" t="s">
        <v>1489</v>
      </c>
      <c r="C366" s="20" t="s">
        <v>1496</v>
      </c>
      <c r="D366" s="218" t="s">
        <v>763</v>
      </c>
      <c r="E366" s="203" t="s">
        <v>2174</v>
      </c>
      <c r="F366" s="108">
        <f t="shared" si="63"/>
        <v>174.95096</v>
      </c>
      <c r="G366" s="106">
        <f t="shared" si="66"/>
        <v>91.56574</v>
      </c>
      <c r="H366" s="106">
        <f t="shared" si="67"/>
        <v>83.38522</v>
      </c>
      <c r="I366" s="107"/>
      <c r="J366" s="107"/>
      <c r="K366" s="107"/>
      <c r="L366" s="107"/>
      <c r="M366" s="107"/>
      <c r="N366" s="107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7"/>
      <c r="Z366" s="107"/>
      <c r="AA366" s="159">
        <v>26.73068</v>
      </c>
      <c r="AB366" s="106">
        <v>19.80731</v>
      </c>
      <c r="AC366" s="107"/>
      <c r="AD366" s="107"/>
      <c r="AE366" s="107"/>
      <c r="AF366" s="107"/>
      <c r="AG366" s="107"/>
      <c r="AH366" s="107"/>
      <c r="AI366" s="107"/>
      <c r="AJ366" s="108">
        <v>0</v>
      </c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7"/>
      <c r="AV366" s="107"/>
      <c r="AW366" s="107"/>
      <c r="AX366" s="107"/>
      <c r="AY366" s="106"/>
      <c r="AZ366" s="107"/>
      <c r="BA366" s="107"/>
      <c r="BB366" s="107"/>
      <c r="BC366" s="107">
        <v>64.83506</v>
      </c>
      <c r="BD366" s="107">
        <v>63.57791</v>
      </c>
      <c r="BE366" s="107"/>
      <c r="BF366" s="107"/>
      <c r="BG366" s="107"/>
      <c r="BH366" s="107"/>
      <c r="BI366" s="107"/>
      <c r="BJ366" s="107"/>
      <c r="BK366" s="107"/>
      <c r="BL366" s="107"/>
      <c r="BM366" s="107"/>
      <c r="BN366" s="107"/>
      <c r="BO366" s="107"/>
      <c r="BP366" s="107"/>
      <c r="BQ366" s="109"/>
      <c r="BR366" s="109"/>
      <c r="BS366" s="109"/>
      <c r="BT366" s="109"/>
      <c r="BU366" s="138"/>
    </row>
    <row r="367" spans="1:73" ht="34.5" customHeight="1" outlineLevel="2">
      <c r="A367" s="35" t="s">
        <v>150</v>
      </c>
      <c r="B367" s="19" t="s">
        <v>626</v>
      </c>
      <c r="C367" s="20" t="s">
        <v>1496</v>
      </c>
      <c r="D367" s="218" t="s">
        <v>179</v>
      </c>
      <c r="E367" s="203" t="s">
        <v>2175</v>
      </c>
      <c r="F367" s="108">
        <f t="shared" si="63"/>
        <v>97.4997</v>
      </c>
      <c r="G367" s="106">
        <f t="shared" si="66"/>
        <v>49.22632</v>
      </c>
      <c r="H367" s="106">
        <f t="shared" si="67"/>
        <v>48.27338</v>
      </c>
      <c r="I367" s="107"/>
      <c r="J367" s="107"/>
      <c r="K367" s="107"/>
      <c r="L367" s="107"/>
      <c r="M367" s="107"/>
      <c r="N367" s="107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7"/>
      <c r="Z367" s="107"/>
      <c r="AA367" s="106"/>
      <c r="AB367" s="106"/>
      <c r="AC367" s="107"/>
      <c r="AD367" s="107"/>
      <c r="AE367" s="107"/>
      <c r="AF367" s="107"/>
      <c r="AG367" s="107"/>
      <c r="AH367" s="107"/>
      <c r="AI367" s="107"/>
      <c r="AJ367" s="108">
        <v>0</v>
      </c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7"/>
      <c r="AV367" s="107"/>
      <c r="AW367" s="107"/>
      <c r="AX367" s="107"/>
      <c r="AY367" s="106"/>
      <c r="AZ367" s="107"/>
      <c r="BA367" s="107"/>
      <c r="BB367" s="107"/>
      <c r="BC367" s="107">
        <v>49.22632</v>
      </c>
      <c r="BD367" s="107">
        <v>48.27338</v>
      </c>
      <c r="BE367" s="107"/>
      <c r="BF367" s="107"/>
      <c r="BG367" s="107"/>
      <c r="BH367" s="107"/>
      <c r="BI367" s="107"/>
      <c r="BJ367" s="107"/>
      <c r="BK367" s="107"/>
      <c r="BL367" s="107"/>
      <c r="BM367" s="107"/>
      <c r="BN367" s="107"/>
      <c r="BO367" s="107"/>
      <c r="BP367" s="107"/>
      <c r="BQ367" s="109"/>
      <c r="BR367" s="109"/>
      <c r="BS367" s="109"/>
      <c r="BT367" s="109"/>
      <c r="BU367" s="138"/>
    </row>
    <row r="368" spans="1:73" ht="41.25" customHeight="1" outlineLevel="2">
      <c r="A368" s="2" t="s">
        <v>150</v>
      </c>
      <c r="B368" s="3" t="s">
        <v>802</v>
      </c>
      <c r="C368" s="4" t="s">
        <v>587</v>
      </c>
      <c r="D368" s="230" t="s">
        <v>813</v>
      </c>
      <c r="E368" s="233" t="s">
        <v>2176</v>
      </c>
      <c r="F368" s="108">
        <f t="shared" si="63"/>
        <v>348.56455000000005</v>
      </c>
      <c r="G368" s="106">
        <f t="shared" si="66"/>
        <v>94.08205000000001</v>
      </c>
      <c r="H368" s="106">
        <f t="shared" si="67"/>
        <v>254.48250000000002</v>
      </c>
      <c r="I368" s="119"/>
      <c r="J368" s="119"/>
      <c r="K368" s="119"/>
      <c r="L368" s="119"/>
      <c r="M368" s="119"/>
      <c r="N368" s="119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19"/>
      <c r="Z368" s="119"/>
      <c r="AA368" s="120">
        <v>49.6115</v>
      </c>
      <c r="AB368" s="120">
        <v>39.61462</v>
      </c>
      <c r="AC368" s="119"/>
      <c r="AD368" s="119"/>
      <c r="AE368" s="119"/>
      <c r="AF368" s="119"/>
      <c r="AG368" s="119"/>
      <c r="AH368" s="119"/>
      <c r="AI368" s="119"/>
      <c r="AJ368" s="108">
        <v>0</v>
      </c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20"/>
      <c r="AZ368" s="119"/>
      <c r="BA368" s="119">
        <f>104.7455+66.51505</f>
        <v>171.26055000000002</v>
      </c>
      <c r="BB368" s="119"/>
      <c r="BC368" s="119">
        <v>44.47055</v>
      </c>
      <c r="BD368" s="119">
        <v>43.60733</v>
      </c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21"/>
      <c r="BR368" s="121"/>
      <c r="BS368" s="121"/>
      <c r="BT368" s="121"/>
      <c r="BU368" s="140"/>
    </row>
    <row r="369" spans="1:73" ht="41.25" customHeight="1" outlineLevel="2">
      <c r="A369" s="2" t="s">
        <v>150</v>
      </c>
      <c r="B369" s="3" t="s">
        <v>1642</v>
      </c>
      <c r="C369" s="4" t="s">
        <v>587</v>
      </c>
      <c r="D369" s="230" t="s">
        <v>1666</v>
      </c>
      <c r="E369" s="233" t="s">
        <v>2177</v>
      </c>
      <c r="F369" s="108">
        <f t="shared" si="63"/>
        <v>1828.11151</v>
      </c>
      <c r="G369" s="106">
        <f t="shared" si="66"/>
        <v>80.71283</v>
      </c>
      <c r="H369" s="106">
        <f t="shared" si="67"/>
        <v>1747.39868</v>
      </c>
      <c r="I369" s="119"/>
      <c r="J369" s="119"/>
      <c r="K369" s="119"/>
      <c r="L369" s="119"/>
      <c r="M369" s="119"/>
      <c r="N369" s="119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19">
        <v>4.20892</v>
      </c>
      <c r="Z369" s="119">
        <v>19.965</v>
      </c>
      <c r="AA369" s="120">
        <v>57.32311</v>
      </c>
      <c r="AB369" s="120">
        <v>43.57608</v>
      </c>
      <c r="AC369" s="119"/>
      <c r="AD369" s="119"/>
      <c r="AE369" s="119"/>
      <c r="AF369" s="119"/>
      <c r="AG369" s="119"/>
      <c r="AH369" s="119"/>
      <c r="AI369" s="119"/>
      <c r="AJ369" s="108">
        <v>0</v>
      </c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20"/>
      <c r="AZ369" s="119"/>
      <c r="BA369" s="119">
        <v>165.05</v>
      </c>
      <c r="BB369" s="119"/>
      <c r="BC369" s="119">
        <f>23.98267-4.80187</f>
        <v>19.180799999999998</v>
      </c>
      <c r="BD369" s="119">
        <f>23.52159-4.71399</f>
        <v>18.8076</v>
      </c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21"/>
      <c r="BR369" s="121"/>
      <c r="BS369" s="121">
        <v>1500</v>
      </c>
      <c r="BT369" s="121"/>
      <c r="BU369" s="140"/>
    </row>
    <row r="370" spans="1:73" ht="41.25" customHeight="1" outlineLevel="2">
      <c r="A370" s="19" t="s">
        <v>150</v>
      </c>
      <c r="B370" s="19" t="s">
        <v>1358</v>
      </c>
      <c r="C370" s="20" t="s">
        <v>587</v>
      </c>
      <c r="D370" s="218" t="s">
        <v>814</v>
      </c>
      <c r="E370" s="220" t="s">
        <v>2178</v>
      </c>
      <c r="F370" s="108">
        <f t="shared" si="63"/>
        <v>778.89312</v>
      </c>
      <c r="G370" s="106">
        <f t="shared" si="66"/>
        <v>495.36402</v>
      </c>
      <c r="H370" s="106">
        <f t="shared" si="67"/>
        <v>283.52909999999997</v>
      </c>
      <c r="I370" s="107"/>
      <c r="J370" s="107"/>
      <c r="K370" s="107"/>
      <c r="L370" s="107"/>
      <c r="M370" s="107"/>
      <c r="N370" s="107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7"/>
      <c r="Z370" s="107"/>
      <c r="AA370" s="159">
        <v>327.43591</v>
      </c>
      <c r="AB370" s="106">
        <v>118.84385</v>
      </c>
      <c r="AC370" s="107"/>
      <c r="AD370" s="107"/>
      <c r="AE370" s="107"/>
      <c r="AF370" s="107"/>
      <c r="AG370" s="107"/>
      <c r="AH370" s="107"/>
      <c r="AI370" s="107"/>
      <c r="AJ370" s="108">
        <v>0</v>
      </c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7"/>
      <c r="AV370" s="107"/>
      <c r="AW370" s="107"/>
      <c r="AX370" s="107"/>
      <c r="AY370" s="106"/>
      <c r="AZ370" s="107"/>
      <c r="BA370" s="107"/>
      <c r="BB370" s="107"/>
      <c r="BC370" s="107">
        <v>167.92811</v>
      </c>
      <c r="BD370" s="107">
        <v>164.68525</v>
      </c>
      <c r="BE370" s="107"/>
      <c r="BF370" s="107"/>
      <c r="BG370" s="107"/>
      <c r="BH370" s="107"/>
      <c r="BI370" s="107"/>
      <c r="BJ370" s="107"/>
      <c r="BK370" s="107"/>
      <c r="BL370" s="107"/>
      <c r="BM370" s="107"/>
      <c r="BN370" s="107"/>
      <c r="BO370" s="107"/>
      <c r="BP370" s="107"/>
      <c r="BQ370" s="109"/>
      <c r="BR370" s="109"/>
      <c r="BS370" s="109"/>
      <c r="BT370" s="109"/>
      <c r="BU370" s="138"/>
    </row>
    <row r="371" spans="1:73" ht="41.25" customHeight="1" outlineLevel="2">
      <c r="A371" s="35" t="s">
        <v>150</v>
      </c>
      <c r="B371" s="19" t="s">
        <v>803</v>
      </c>
      <c r="C371" s="20" t="s">
        <v>587</v>
      </c>
      <c r="D371" s="218" t="s">
        <v>815</v>
      </c>
      <c r="E371" s="220" t="s">
        <v>2179</v>
      </c>
      <c r="F371" s="108">
        <f t="shared" si="63"/>
        <v>1015.1525499999999</v>
      </c>
      <c r="G371" s="106">
        <f t="shared" si="66"/>
        <v>50.409909999999996</v>
      </c>
      <c r="H371" s="106">
        <f t="shared" si="67"/>
        <v>964.7426399999999</v>
      </c>
      <c r="I371" s="107"/>
      <c r="J371" s="107"/>
      <c r="K371" s="107"/>
      <c r="L371" s="107"/>
      <c r="M371" s="107"/>
      <c r="N371" s="107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7"/>
      <c r="Z371" s="107"/>
      <c r="AA371" s="159">
        <v>10.39857</v>
      </c>
      <c r="AB371" s="106">
        <v>7.92292</v>
      </c>
      <c r="AC371" s="107"/>
      <c r="AD371" s="107"/>
      <c r="AE371" s="107"/>
      <c r="AF371" s="107"/>
      <c r="AG371" s="107"/>
      <c r="AH371" s="107"/>
      <c r="AI371" s="107"/>
      <c r="AJ371" s="108">
        <v>0</v>
      </c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06">
        <v>8.72436</v>
      </c>
      <c r="AZ371" s="107">
        <v>81</v>
      </c>
      <c r="BA371" s="107">
        <v>545.055</v>
      </c>
      <c r="BB371" s="107"/>
      <c r="BC371" s="107">
        <v>40.01134</v>
      </c>
      <c r="BD371" s="107">
        <v>39.23281</v>
      </c>
      <c r="BE371" s="107"/>
      <c r="BF371" s="107"/>
      <c r="BG371" s="107"/>
      <c r="BH371" s="107"/>
      <c r="BI371" s="107"/>
      <c r="BJ371" s="107">
        <v>282.80755</v>
      </c>
      <c r="BK371" s="107"/>
      <c r="BL371" s="107"/>
      <c r="BM371" s="107"/>
      <c r="BN371" s="107"/>
      <c r="BO371" s="107"/>
      <c r="BP371" s="107"/>
      <c r="BQ371" s="109"/>
      <c r="BR371" s="109"/>
      <c r="BS371" s="109"/>
      <c r="BT371" s="109"/>
      <c r="BU371" s="138"/>
    </row>
    <row r="372" spans="1:73" ht="41.25" customHeight="1" outlineLevel="2">
      <c r="A372" s="35" t="s">
        <v>150</v>
      </c>
      <c r="B372" s="19" t="s">
        <v>303</v>
      </c>
      <c r="C372" s="20" t="s">
        <v>587</v>
      </c>
      <c r="D372" s="225" t="s">
        <v>1001</v>
      </c>
      <c r="E372" s="226" t="s">
        <v>2180</v>
      </c>
      <c r="F372" s="108">
        <f t="shared" si="63"/>
        <v>18.53546</v>
      </c>
      <c r="G372" s="106">
        <f t="shared" si="66"/>
        <v>5.99567</v>
      </c>
      <c r="H372" s="106">
        <f t="shared" si="67"/>
        <v>12.53979</v>
      </c>
      <c r="I372" s="107"/>
      <c r="J372" s="107"/>
      <c r="K372" s="107"/>
      <c r="L372" s="107"/>
      <c r="M372" s="107"/>
      <c r="N372" s="107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7"/>
      <c r="Z372" s="107"/>
      <c r="AA372" s="159"/>
      <c r="AB372" s="106"/>
      <c r="AC372" s="107"/>
      <c r="AD372" s="107"/>
      <c r="AE372" s="107"/>
      <c r="AF372" s="107"/>
      <c r="AG372" s="107"/>
      <c r="AH372" s="107"/>
      <c r="AI372" s="107"/>
      <c r="AJ372" s="108">
        <v>0</v>
      </c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7"/>
      <c r="AX372" s="107"/>
      <c r="AY372" s="106">
        <v>6.65939</v>
      </c>
      <c r="AZ372" s="107"/>
      <c r="BA372" s="107"/>
      <c r="BB372" s="107"/>
      <c r="BC372" s="107">
        <v>5.99567</v>
      </c>
      <c r="BD372" s="107">
        <v>5.8804</v>
      </c>
      <c r="BE372" s="107"/>
      <c r="BF372" s="107"/>
      <c r="BG372" s="107"/>
      <c r="BH372" s="107"/>
      <c r="BI372" s="107"/>
      <c r="BJ372" s="107"/>
      <c r="BK372" s="107"/>
      <c r="BL372" s="107"/>
      <c r="BM372" s="107"/>
      <c r="BN372" s="107"/>
      <c r="BO372" s="107"/>
      <c r="BP372" s="107"/>
      <c r="BQ372" s="109"/>
      <c r="BR372" s="109"/>
      <c r="BS372" s="109"/>
      <c r="BT372" s="109"/>
      <c r="BU372" s="138"/>
    </row>
    <row r="373" spans="1:73" ht="24" customHeight="1" outlineLevel="2">
      <c r="A373" s="35" t="s">
        <v>150</v>
      </c>
      <c r="B373" s="19" t="s">
        <v>1317</v>
      </c>
      <c r="C373" s="20" t="s">
        <v>587</v>
      </c>
      <c r="D373" s="225" t="s">
        <v>1002</v>
      </c>
      <c r="E373" s="226" t="s">
        <v>2181</v>
      </c>
      <c r="F373" s="108">
        <f t="shared" si="63"/>
        <v>542.71001</v>
      </c>
      <c r="G373" s="106">
        <f t="shared" si="66"/>
        <v>178.40851</v>
      </c>
      <c r="H373" s="106">
        <f t="shared" si="67"/>
        <v>364.30150000000003</v>
      </c>
      <c r="I373" s="107"/>
      <c r="J373" s="107"/>
      <c r="K373" s="107"/>
      <c r="L373" s="107"/>
      <c r="M373" s="107"/>
      <c r="N373" s="107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7"/>
      <c r="Z373" s="107"/>
      <c r="AA373" s="159">
        <v>117.03353</v>
      </c>
      <c r="AB373" s="106">
        <v>69.32558</v>
      </c>
      <c r="AC373" s="107"/>
      <c r="AD373" s="107"/>
      <c r="AE373" s="107"/>
      <c r="AF373" s="107"/>
      <c r="AG373" s="107"/>
      <c r="AH373" s="107"/>
      <c r="AI373" s="107"/>
      <c r="AJ373" s="108">
        <v>0</v>
      </c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06">
        <v>3.86854</v>
      </c>
      <c r="AZ373" s="107">
        <v>67.5</v>
      </c>
      <c r="BA373" s="107"/>
      <c r="BB373" s="107"/>
      <c r="BC373" s="107">
        <v>61.37498</v>
      </c>
      <c r="BD373" s="107">
        <v>60.18204</v>
      </c>
      <c r="BE373" s="107"/>
      <c r="BF373" s="107"/>
      <c r="BG373" s="107"/>
      <c r="BH373" s="107"/>
      <c r="BI373" s="107"/>
      <c r="BJ373" s="107">
        <v>163.42534</v>
      </c>
      <c r="BK373" s="107"/>
      <c r="BL373" s="107"/>
      <c r="BM373" s="107"/>
      <c r="BN373" s="107"/>
      <c r="BO373" s="107"/>
      <c r="BP373" s="107"/>
      <c r="BQ373" s="109"/>
      <c r="BR373" s="109"/>
      <c r="BS373" s="109"/>
      <c r="BT373" s="109"/>
      <c r="BU373" s="138"/>
    </row>
    <row r="374" spans="1:73" ht="41.25" customHeight="1" outlineLevel="2">
      <c r="A374" s="35" t="s">
        <v>150</v>
      </c>
      <c r="B374" s="19" t="s">
        <v>801</v>
      </c>
      <c r="C374" s="20" t="s">
        <v>587</v>
      </c>
      <c r="D374" s="218" t="s">
        <v>760</v>
      </c>
      <c r="E374" s="220" t="s">
        <v>2182</v>
      </c>
      <c r="F374" s="108">
        <f t="shared" si="63"/>
        <v>341.40322</v>
      </c>
      <c r="G374" s="106">
        <f t="shared" si="66"/>
        <v>181.50784</v>
      </c>
      <c r="H374" s="106">
        <f t="shared" si="67"/>
        <v>159.89538</v>
      </c>
      <c r="I374" s="107"/>
      <c r="J374" s="107"/>
      <c r="K374" s="107"/>
      <c r="L374" s="107"/>
      <c r="M374" s="107"/>
      <c r="N374" s="107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7"/>
      <c r="Z374" s="107"/>
      <c r="AA374" s="159">
        <v>75.01259</v>
      </c>
      <c r="AB374" s="106">
        <v>55.46047</v>
      </c>
      <c r="AC374" s="107"/>
      <c r="AD374" s="107"/>
      <c r="AE374" s="107"/>
      <c r="AF374" s="107"/>
      <c r="AG374" s="107"/>
      <c r="AH374" s="107"/>
      <c r="AI374" s="107"/>
      <c r="AJ374" s="108">
        <v>0</v>
      </c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7"/>
      <c r="AX374" s="107"/>
      <c r="AY374" s="106"/>
      <c r="AZ374" s="107"/>
      <c r="BA374" s="107"/>
      <c r="BB374" s="107"/>
      <c r="BC374" s="107">
        <v>106.49525</v>
      </c>
      <c r="BD374" s="107">
        <v>104.43491</v>
      </c>
      <c r="BE374" s="107"/>
      <c r="BF374" s="107"/>
      <c r="BG374" s="107"/>
      <c r="BH374" s="107"/>
      <c r="BI374" s="107"/>
      <c r="BJ374" s="107"/>
      <c r="BK374" s="107"/>
      <c r="BL374" s="107"/>
      <c r="BM374" s="107"/>
      <c r="BN374" s="107"/>
      <c r="BO374" s="107"/>
      <c r="BP374" s="107"/>
      <c r="BQ374" s="109"/>
      <c r="BR374" s="109"/>
      <c r="BS374" s="109"/>
      <c r="BT374" s="109"/>
      <c r="BU374" s="138"/>
    </row>
    <row r="375" spans="1:73" ht="40.5" customHeight="1" outlineLevel="2">
      <c r="A375" s="35" t="s">
        <v>150</v>
      </c>
      <c r="B375" s="19" t="s">
        <v>801</v>
      </c>
      <c r="C375" s="20" t="s">
        <v>587</v>
      </c>
      <c r="D375" s="218" t="s">
        <v>1003</v>
      </c>
      <c r="E375" s="220" t="s">
        <v>2182</v>
      </c>
      <c r="F375" s="108">
        <f t="shared" si="63"/>
        <v>122.20548</v>
      </c>
      <c r="G375" s="106">
        <f t="shared" si="66"/>
        <v>68.95483</v>
      </c>
      <c r="H375" s="106">
        <f t="shared" si="67"/>
        <v>53.25065</v>
      </c>
      <c r="I375" s="107"/>
      <c r="J375" s="107"/>
      <c r="K375" s="107"/>
      <c r="L375" s="107"/>
      <c r="M375" s="107"/>
      <c r="N375" s="107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7"/>
      <c r="Z375" s="107"/>
      <c r="AA375" s="159">
        <v>44.94802</v>
      </c>
      <c r="AB375" s="106">
        <v>29.71096</v>
      </c>
      <c r="AC375" s="107"/>
      <c r="AD375" s="107"/>
      <c r="AE375" s="107"/>
      <c r="AF375" s="107"/>
      <c r="AG375" s="107"/>
      <c r="AH375" s="107"/>
      <c r="AI375" s="107"/>
      <c r="AJ375" s="108">
        <v>0</v>
      </c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7"/>
      <c r="AX375" s="107"/>
      <c r="AY375" s="106"/>
      <c r="AZ375" s="107"/>
      <c r="BA375" s="107"/>
      <c r="BB375" s="107"/>
      <c r="BC375" s="107">
        <v>24.00681</v>
      </c>
      <c r="BD375" s="107">
        <v>23.53969</v>
      </c>
      <c r="BE375" s="107"/>
      <c r="BF375" s="107"/>
      <c r="BG375" s="107"/>
      <c r="BH375" s="107"/>
      <c r="BI375" s="107"/>
      <c r="BJ375" s="107"/>
      <c r="BK375" s="107"/>
      <c r="BL375" s="107"/>
      <c r="BM375" s="107"/>
      <c r="BN375" s="107"/>
      <c r="BO375" s="107"/>
      <c r="BP375" s="107"/>
      <c r="BQ375" s="109"/>
      <c r="BR375" s="109"/>
      <c r="BS375" s="109"/>
      <c r="BT375" s="109"/>
      <c r="BU375" s="138"/>
    </row>
    <row r="376" spans="1:73" ht="36.75" customHeight="1" outlineLevel="2">
      <c r="A376" s="35" t="s">
        <v>150</v>
      </c>
      <c r="B376" s="19" t="s">
        <v>1107</v>
      </c>
      <c r="C376" s="20" t="s">
        <v>587</v>
      </c>
      <c r="D376" s="218" t="s">
        <v>761</v>
      </c>
      <c r="E376" s="203" t="s">
        <v>2183</v>
      </c>
      <c r="F376" s="108">
        <f t="shared" si="63"/>
        <v>1653.66318</v>
      </c>
      <c r="G376" s="106">
        <f t="shared" si="66"/>
        <v>935.6745900000001</v>
      </c>
      <c r="H376" s="106">
        <f t="shared" si="67"/>
        <v>717.98859</v>
      </c>
      <c r="I376" s="107"/>
      <c r="J376" s="107"/>
      <c r="K376" s="107"/>
      <c r="L376" s="107"/>
      <c r="M376" s="107"/>
      <c r="N376" s="107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7">
        <v>2.21522</v>
      </c>
      <c r="Z376" s="107">
        <v>11.358</v>
      </c>
      <c r="AA376" s="159">
        <v>515.86039</v>
      </c>
      <c r="AB376" s="106">
        <v>297.10964</v>
      </c>
      <c r="AC376" s="107"/>
      <c r="AD376" s="107"/>
      <c r="AE376" s="107"/>
      <c r="AF376" s="107"/>
      <c r="AG376" s="107"/>
      <c r="AH376" s="107"/>
      <c r="AI376" s="107"/>
      <c r="AJ376" s="108">
        <v>0</v>
      </c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7"/>
      <c r="AV376" s="107"/>
      <c r="AW376" s="107"/>
      <c r="AX376" s="107"/>
      <c r="AY376" s="106"/>
      <c r="AZ376" s="107"/>
      <c r="BA376" s="107"/>
      <c r="BB376" s="107"/>
      <c r="BC376" s="107">
        <v>417.59898</v>
      </c>
      <c r="BD376" s="107">
        <v>409.52095</v>
      </c>
      <c r="BE376" s="107"/>
      <c r="BF376" s="107"/>
      <c r="BG376" s="107"/>
      <c r="BH376" s="107"/>
      <c r="BI376" s="107"/>
      <c r="BJ376" s="107"/>
      <c r="BK376" s="107"/>
      <c r="BL376" s="107"/>
      <c r="BM376" s="107"/>
      <c r="BN376" s="107"/>
      <c r="BO376" s="107"/>
      <c r="BP376" s="107"/>
      <c r="BQ376" s="109"/>
      <c r="BR376" s="109"/>
      <c r="BS376" s="109"/>
      <c r="BT376" s="109"/>
      <c r="BU376" s="138"/>
    </row>
    <row r="377" spans="1:73" ht="36" customHeight="1" outlineLevel="2">
      <c r="A377" s="19" t="s">
        <v>150</v>
      </c>
      <c r="B377" s="19" t="s">
        <v>1359</v>
      </c>
      <c r="C377" s="20" t="s">
        <v>587</v>
      </c>
      <c r="D377" s="218" t="s">
        <v>177</v>
      </c>
      <c r="E377" s="203" t="s">
        <v>2186</v>
      </c>
      <c r="F377" s="108">
        <f t="shared" si="63"/>
        <v>594.45709</v>
      </c>
      <c r="G377" s="106">
        <f t="shared" si="66"/>
        <v>309.76909</v>
      </c>
      <c r="H377" s="106">
        <f t="shared" si="67"/>
        <v>284.688</v>
      </c>
      <c r="I377" s="107"/>
      <c r="J377" s="107"/>
      <c r="K377" s="107"/>
      <c r="L377" s="107"/>
      <c r="M377" s="107"/>
      <c r="N377" s="107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7">
        <v>12.62675</v>
      </c>
      <c r="Z377" s="107">
        <v>59.895</v>
      </c>
      <c r="AA377" s="159">
        <v>178.9983</v>
      </c>
      <c r="AB377" s="106">
        <v>108.9402</v>
      </c>
      <c r="AC377" s="107"/>
      <c r="AD377" s="107"/>
      <c r="AE377" s="107"/>
      <c r="AF377" s="107"/>
      <c r="AG377" s="107"/>
      <c r="AH377" s="107"/>
      <c r="AI377" s="107"/>
      <c r="AJ377" s="108">
        <v>0</v>
      </c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7"/>
      <c r="AV377" s="107"/>
      <c r="AW377" s="107"/>
      <c r="AX377" s="107"/>
      <c r="AY377" s="106"/>
      <c r="AZ377" s="107"/>
      <c r="BA377" s="107"/>
      <c r="BB377" s="107"/>
      <c r="BC377" s="107">
        <v>118.14404</v>
      </c>
      <c r="BD377" s="107">
        <v>115.8528</v>
      </c>
      <c r="BE377" s="107"/>
      <c r="BF377" s="107"/>
      <c r="BG377" s="107"/>
      <c r="BH377" s="107"/>
      <c r="BI377" s="107"/>
      <c r="BJ377" s="107"/>
      <c r="BK377" s="107"/>
      <c r="BL377" s="107"/>
      <c r="BM377" s="107"/>
      <c r="BN377" s="107"/>
      <c r="BO377" s="107"/>
      <c r="BP377" s="107"/>
      <c r="BQ377" s="109"/>
      <c r="BR377" s="109"/>
      <c r="BS377" s="109"/>
      <c r="BT377" s="109"/>
      <c r="BU377" s="138"/>
    </row>
    <row r="378" spans="1:73" ht="38.25" customHeight="1" outlineLevel="2">
      <c r="A378" s="19" t="s">
        <v>150</v>
      </c>
      <c r="B378" s="19" t="s">
        <v>1361</v>
      </c>
      <c r="C378" s="20" t="s">
        <v>587</v>
      </c>
      <c r="D378" s="218" t="s">
        <v>816</v>
      </c>
      <c r="E378" s="203" t="s">
        <v>2185</v>
      </c>
      <c r="F378" s="108">
        <f t="shared" si="63"/>
        <v>180.37734999999998</v>
      </c>
      <c r="G378" s="106">
        <f t="shared" si="66"/>
        <v>102.43102999999999</v>
      </c>
      <c r="H378" s="106">
        <f t="shared" si="67"/>
        <v>77.94632</v>
      </c>
      <c r="I378" s="107"/>
      <c r="J378" s="107"/>
      <c r="K378" s="107"/>
      <c r="L378" s="107"/>
      <c r="M378" s="107"/>
      <c r="N378" s="107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7"/>
      <c r="Z378" s="107"/>
      <c r="AA378" s="159">
        <v>63.34396</v>
      </c>
      <c r="AB378" s="106">
        <v>39.61462</v>
      </c>
      <c r="AC378" s="107"/>
      <c r="AD378" s="107"/>
      <c r="AE378" s="107"/>
      <c r="AF378" s="107"/>
      <c r="AG378" s="107"/>
      <c r="AH378" s="107"/>
      <c r="AI378" s="107"/>
      <c r="AJ378" s="108">
        <v>0</v>
      </c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7"/>
      <c r="AV378" s="107"/>
      <c r="AW378" s="107"/>
      <c r="AX378" s="107"/>
      <c r="AY378" s="106"/>
      <c r="AZ378" s="107"/>
      <c r="BA378" s="107"/>
      <c r="BB378" s="107"/>
      <c r="BC378" s="107">
        <v>39.08707</v>
      </c>
      <c r="BD378" s="107">
        <v>38.3317</v>
      </c>
      <c r="BE378" s="107"/>
      <c r="BF378" s="107"/>
      <c r="BG378" s="107"/>
      <c r="BH378" s="107"/>
      <c r="BI378" s="107"/>
      <c r="BJ378" s="107"/>
      <c r="BK378" s="107"/>
      <c r="BL378" s="107"/>
      <c r="BM378" s="107"/>
      <c r="BN378" s="107"/>
      <c r="BO378" s="107"/>
      <c r="BP378" s="107"/>
      <c r="BQ378" s="109"/>
      <c r="BR378" s="109"/>
      <c r="BS378" s="109"/>
      <c r="BT378" s="109"/>
      <c r="BU378" s="138"/>
    </row>
    <row r="379" spans="1:73" ht="40.5" outlineLevel="2">
      <c r="A379" s="19" t="s">
        <v>150</v>
      </c>
      <c r="B379" s="19" t="s">
        <v>1360</v>
      </c>
      <c r="C379" s="20" t="s">
        <v>587</v>
      </c>
      <c r="D379" s="218" t="s">
        <v>178</v>
      </c>
      <c r="E379" s="220" t="s">
        <v>2187</v>
      </c>
      <c r="F379" s="108">
        <f t="shared" si="63"/>
        <v>183.23633999999998</v>
      </c>
      <c r="G379" s="106">
        <f t="shared" si="66"/>
        <v>93.09712999999999</v>
      </c>
      <c r="H379" s="106">
        <f t="shared" si="67"/>
        <v>90.13921</v>
      </c>
      <c r="I379" s="107"/>
      <c r="J379" s="107"/>
      <c r="K379" s="107"/>
      <c r="L379" s="107"/>
      <c r="M379" s="107"/>
      <c r="N379" s="107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7">
        <v>4.20892</v>
      </c>
      <c r="Z379" s="107">
        <v>19.965</v>
      </c>
      <c r="AA379" s="159">
        <v>47.62704</v>
      </c>
      <c r="AB379" s="106">
        <v>29.71096</v>
      </c>
      <c r="AC379" s="107"/>
      <c r="AD379" s="107"/>
      <c r="AE379" s="107"/>
      <c r="AF379" s="107"/>
      <c r="AG379" s="107"/>
      <c r="AH379" s="107"/>
      <c r="AI379" s="107"/>
      <c r="AJ379" s="108">
        <v>0</v>
      </c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7"/>
      <c r="AV379" s="107"/>
      <c r="AW379" s="107"/>
      <c r="AX379" s="107"/>
      <c r="AY379" s="106"/>
      <c r="AZ379" s="107"/>
      <c r="BA379" s="107"/>
      <c r="BB379" s="107"/>
      <c r="BC379" s="107">
        <v>41.26117</v>
      </c>
      <c r="BD379" s="107">
        <v>40.46325</v>
      </c>
      <c r="BE379" s="107"/>
      <c r="BF379" s="107"/>
      <c r="BG379" s="107"/>
      <c r="BH379" s="107"/>
      <c r="BI379" s="107"/>
      <c r="BJ379" s="107"/>
      <c r="BK379" s="107"/>
      <c r="BL379" s="107"/>
      <c r="BM379" s="107"/>
      <c r="BN379" s="107"/>
      <c r="BO379" s="107"/>
      <c r="BP379" s="107"/>
      <c r="BQ379" s="109"/>
      <c r="BR379" s="109"/>
      <c r="BS379" s="109"/>
      <c r="BT379" s="109"/>
      <c r="BU379" s="138"/>
    </row>
    <row r="380" spans="1:73" ht="33.75" customHeight="1" outlineLevel="2" thickBot="1">
      <c r="A380" s="38" t="s">
        <v>150</v>
      </c>
      <c r="B380" s="42" t="s">
        <v>1597</v>
      </c>
      <c r="C380" s="27" t="s">
        <v>1706</v>
      </c>
      <c r="D380" s="219" t="s">
        <v>2796</v>
      </c>
      <c r="E380" s="203" t="s">
        <v>2184</v>
      </c>
      <c r="F380" s="108">
        <f t="shared" si="63"/>
        <v>1052.83348</v>
      </c>
      <c r="G380" s="106">
        <f t="shared" si="66"/>
        <v>0</v>
      </c>
      <c r="H380" s="106">
        <f t="shared" si="67"/>
        <v>1052.83348</v>
      </c>
      <c r="I380" s="113"/>
      <c r="J380" s="113"/>
      <c r="K380" s="113"/>
      <c r="L380" s="113"/>
      <c r="M380" s="113"/>
      <c r="N380" s="113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3"/>
      <c r="Z380" s="113"/>
      <c r="AA380" s="114"/>
      <c r="AB380" s="114"/>
      <c r="AC380" s="113"/>
      <c r="AD380" s="113"/>
      <c r="AE380" s="113"/>
      <c r="AF380" s="113"/>
      <c r="AG380" s="113"/>
      <c r="AH380" s="113"/>
      <c r="AI380" s="113"/>
      <c r="AJ380" s="128">
        <v>0</v>
      </c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4"/>
      <c r="AZ380" s="113"/>
      <c r="BA380" s="113"/>
      <c r="BB380" s="113"/>
      <c r="BC380" s="113"/>
      <c r="BD380" s="113"/>
      <c r="BE380" s="113"/>
      <c r="BF380" s="113"/>
      <c r="BG380" s="113"/>
      <c r="BH380" s="113"/>
      <c r="BI380" s="113"/>
      <c r="BJ380" s="113"/>
      <c r="BK380" s="113"/>
      <c r="BL380" s="113"/>
      <c r="BM380" s="113"/>
      <c r="BN380" s="113">
        <v>1052.83348</v>
      </c>
      <c r="BO380" s="113"/>
      <c r="BP380" s="113"/>
      <c r="BQ380" s="115"/>
      <c r="BR380" s="115"/>
      <c r="BS380" s="115"/>
      <c r="BT380" s="115"/>
      <c r="BU380" s="139"/>
    </row>
    <row r="381" spans="1:73" s="32" customFormat="1" ht="21" outlineLevel="1" thickBot="1">
      <c r="A381" s="40" t="s">
        <v>455</v>
      </c>
      <c r="B381" s="44"/>
      <c r="C381" s="30" t="s">
        <v>1572</v>
      </c>
      <c r="D381" s="222"/>
      <c r="E381" s="223"/>
      <c r="F381" s="116">
        <f>SUBTOTAL(9,F364:F380)</f>
        <v>13670.30789</v>
      </c>
      <c r="G381" s="116">
        <f>SUBTOTAL(9,G364:G380)</f>
        <v>5327.50724</v>
      </c>
      <c r="H381" s="116">
        <f>SUBTOTAL(9,H364:H380)</f>
        <v>8342.800650000001</v>
      </c>
      <c r="I381" s="116">
        <f aca="true" t="shared" si="68" ref="I381:BM381">SUBTOTAL(9,I364:I380)</f>
        <v>0</v>
      </c>
      <c r="J381" s="116">
        <f t="shared" si="68"/>
        <v>0</v>
      </c>
      <c r="K381" s="116">
        <f t="shared" si="68"/>
        <v>0</v>
      </c>
      <c r="L381" s="116">
        <f t="shared" si="68"/>
        <v>0</v>
      </c>
      <c r="M381" s="116">
        <f t="shared" si="68"/>
        <v>0</v>
      </c>
      <c r="N381" s="116">
        <f t="shared" si="68"/>
        <v>0</v>
      </c>
      <c r="O381" s="116">
        <f t="shared" si="68"/>
        <v>0</v>
      </c>
      <c r="P381" s="116">
        <f t="shared" si="68"/>
        <v>0</v>
      </c>
      <c r="Q381" s="116">
        <f t="shared" si="68"/>
        <v>0</v>
      </c>
      <c r="R381" s="116">
        <f t="shared" si="68"/>
        <v>0</v>
      </c>
      <c r="S381" s="116">
        <f t="shared" si="68"/>
        <v>0</v>
      </c>
      <c r="T381" s="116">
        <f t="shared" si="68"/>
        <v>0</v>
      </c>
      <c r="U381" s="116">
        <f t="shared" si="68"/>
        <v>0</v>
      </c>
      <c r="V381" s="116">
        <f t="shared" si="68"/>
        <v>0</v>
      </c>
      <c r="W381" s="116">
        <f t="shared" si="68"/>
        <v>0</v>
      </c>
      <c r="X381" s="116">
        <f t="shared" si="68"/>
        <v>0</v>
      </c>
      <c r="Y381" s="116">
        <f t="shared" si="68"/>
        <v>23.259809999999998</v>
      </c>
      <c r="Z381" s="116">
        <f t="shared" si="68"/>
        <v>111.183</v>
      </c>
      <c r="AA381" s="116">
        <f t="shared" si="68"/>
        <v>1953.91126</v>
      </c>
      <c r="AB381" s="116">
        <f t="shared" si="68"/>
        <v>1156.74685</v>
      </c>
      <c r="AC381" s="116">
        <f t="shared" si="68"/>
        <v>0</v>
      </c>
      <c r="AD381" s="116">
        <f t="shared" si="68"/>
        <v>0</v>
      </c>
      <c r="AE381" s="116">
        <f t="shared" si="68"/>
        <v>0</v>
      </c>
      <c r="AF381" s="116">
        <f t="shared" si="68"/>
        <v>0</v>
      </c>
      <c r="AG381" s="116">
        <f t="shared" si="68"/>
        <v>0</v>
      </c>
      <c r="AH381" s="116">
        <f t="shared" si="68"/>
        <v>0</v>
      </c>
      <c r="AI381" s="116">
        <f t="shared" si="68"/>
        <v>0</v>
      </c>
      <c r="AJ381" s="116">
        <f>SUBTOTAL(9,AJ364:AJ380)</f>
        <v>24.73512</v>
      </c>
      <c r="AK381" s="116">
        <f t="shared" si="68"/>
        <v>0</v>
      </c>
      <c r="AL381" s="116">
        <f t="shared" si="68"/>
        <v>0</v>
      </c>
      <c r="AM381" s="116">
        <f t="shared" si="68"/>
        <v>0</v>
      </c>
      <c r="AN381" s="116">
        <f t="shared" si="68"/>
        <v>0</v>
      </c>
      <c r="AO381" s="116">
        <f t="shared" si="68"/>
        <v>0</v>
      </c>
      <c r="AP381" s="116">
        <f t="shared" si="68"/>
        <v>0</v>
      </c>
      <c r="AQ381" s="116">
        <f t="shared" si="68"/>
        <v>0</v>
      </c>
      <c r="AR381" s="116">
        <f t="shared" si="68"/>
        <v>0</v>
      </c>
      <c r="AS381" s="116">
        <f t="shared" si="68"/>
        <v>0</v>
      </c>
      <c r="AT381" s="116">
        <f t="shared" si="68"/>
        <v>0</v>
      </c>
      <c r="AU381" s="116">
        <f t="shared" si="68"/>
        <v>0</v>
      </c>
      <c r="AV381" s="116">
        <f t="shared" si="68"/>
        <v>0</v>
      </c>
      <c r="AW381" s="116">
        <f t="shared" si="68"/>
        <v>0</v>
      </c>
      <c r="AX381" s="116">
        <f t="shared" si="68"/>
        <v>713.05078</v>
      </c>
      <c r="AY381" s="116">
        <f t="shared" si="68"/>
        <v>310.24523999999997</v>
      </c>
      <c r="AZ381" s="116">
        <f t="shared" si="68"/>
        <v>148.5</v>
      </c>
      <c r="BA381" s="116">
        <f t="shared" si="68"/>
        <v>881.36555</v>
      </c>
      <c r="BB381" s="116">
        <f t="shared" si="68"/>
        <v>0</v>
      </c>
      <c r="BC381" s="116">
        <f t="shared" si="68"/>
        <v>2637.285390000001</v>
      </c>
      <c r="BD381" s="116">
        <f t="shared" si="68"/>
        <v>2586.2346500000003</v>
      </c>
      <c r="BE381" s="116">
        <f t="shared" si="68"/>
        <v>47.68327</v>
      </c>
      <c r="BF381" s="116">
        <f t="shared" si="68"/>
        <v>0</v>
      </c>
      <c r="BG381" s="116">
        <f t="shared" si="68"/>
        <v>0</v>
      </c>
      <c r="BH381" s="116">
        <f t="shared" si="68"/>
        <v>0</v>
      </c>
      <c r="BI381" s="116">
        <f t="shared" si="68"/>
        <v>0</v>
      </c>
      <c r="BJ381" s="116">
        <f t="shared" si="68"/>
        <v>446.23289</v>
      </c>
      <c r="BK381" s="116"/>
      <c r="BL381" s="116">
        <f t="shared" si="68"/>
        <v>0</v>
      </c>
      <c r="BM381" s="116">
        <f t="shared" si="68"/>
        <v>77.0406</v>
      </c>
      <c r="BN381" s="116">
        <f aca="true" t="shared" si="69" ref="BN381:BU381">SUBTOTAL(9,BN364:BN380)</f>
        <v>1052.83348</v>
      </c>
      <c r="BO381" s="116">
        <f t="shared" si="69"/>
        <v>0</v>
      </c>
      <c r="BP381" s="116">
        <f t="shared" si="69"/>
        <v>0</v>
      </c>
      <c r="BQ381" s="116">
        <f t="shared" si="69"/>
        <v>0</v>
      </c>
      <c r="BR381" s="116">
        <f t="shared" si="69"/>
        <v>0</v>
      </c>
      <c r="BS381" s="116">
        <f t="shared" si="69"/>
        <v>1500</v>
      </c>
      <c r="BT381" s="116">
        <f t="shared" si="69"/>
        <v>0</v>
      </c>
      <c r="BU381" s="141">
        <f t="shared" si="69"/>
        <v>0</v>
      </c>
    </row>
    <row r="382" spans="1:73" ht="40.5" customHeight="1" outlineLevel="2">
      <c r="A382" s="35" t="s">
        <v>456</v>
      </c>
      <c r="B382" s="19" t="s">
        <v>594</v>
      </c>
      <c r="C382" s="20" t="s">
        <v>1496</v>
      </c>
      <c r="D382" s="218" t="s">
        <v>595</v>
      </c>
      <c r="E382" s="203" t="s">
        <v>2194</v>
      </c>
      <c r="F382" s="108">
        <f aca="true" t="shared" si="70" ref="F382:F442">G382+H382</f>
        <v>2350.9328800000003</v>
      </c>
      <c r="G382" s="106">
        <f>I382+K382+O382+S382+U382+W382+Y382+AA382+AC382+AE382+AR382+AX382+BC382+BG382+BP382+BR382+BT382+AO382</f>
        <v>850.25053</v>
      </c>
      <c r="H382" s="106">
        <f>J382+L382+M382+N382+P382+Q382+R382+T382+V382+X382+Z382+AB382+AD382+AF382+AG382+AJ382+AL382+AS382+AT382+AU382+AV382+AW382+AY382+AZ382+BA382+BB382+BD382+BE382+BF382+BH382+BI382+BJ382+BL382+BM382+BN382+BO382+BQ382+BS382+BU382+AH382+AI382+AK382+AM382+AN382+AP382+AQ382+BK382</f>
        <v>1500.68235</v>
      </c>
      <c r="I382" s="107"/>
      <c r="J382" s="107"/>
      <c r="K382" s="107">
        <v>124.7053</v>
      </c>
      <c r="L382" s="107">
        <v>28.10183</v>
      </c>
      <c r="M382" s="107"/>
      <c r="N382" s="107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7"/>
      <c r="Z382" s="107"/>
      <c r="AA382" s="159">
        <v>286.84016</v>
      </c>
      <c r="AB382" s="106">
        <v>202.03455</v>
      </c>
      <c r="AC382" s="107"/>
      <c r="AD382" s="107"/>
      <c r="AE382" s="107"/>
      <c r="AF382" s="107"/>
      <c r="AG382" s="107"/>
      <c r="AH382" s="107"/>
      <c r="AI382" s="107"/>
      <c r="AJ382" s="108">
        <v>0</v>
      </c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7"/>
      <c r="AV382" s="107">
        <v>840.32</v>
      </c>
      <c r="AW382" s="107"/>
      <c r="AX382" s="107"/>
      <c r="AY382" s="106"/>
      <c r="AZ382" s="107"/>
      <c r="BA382" s="107"/>
      <c r="BB382" s="107"/>
      <c r="BC382" s="107">
        <v>438.70507</v>
      </c>
      <c r="BD382" s="107">
        <v>430.22597</v>
      </c>
      <c r="BE382" s="107"/>
      <c r="BF382" s="107"/>
      <c r="BG382" s="107"/>
      <c r="BH382" s="107"/>
      <c r="BI382" s="107"/>
      <c r="BJ382" s="107"/>
      <c r="BK382" s="107"/>
      <c r="BL382" s="107"/>
      <c r="BM382" s="107"/>
      <c r="BN382" s="107"/>
      <c r="BO382" s="107"/>
      <c r="BP382" s="107"/>
      <c r="BQ382" s="109"/>
      <c r="BR382" s="109"/>
      <c r="BS382" s="109"/>
      <c r="BT382" s="109"/>
      <c r="BU382" s="138"/>
    </row>
    <row r="383" spans="1:73" ht="33" customHeight="1" outlineLevel="2">
      <c r="A383" s="35" t="s">
        <v>456</v>
      </c>
      <c r="B383" s="19" t="s">
        <v>596</v>
      </c>
      <c r="C383" s="20" t="s">
        <v>1496</v>
      </c>
      <c r="D383" s="218" t="s">
        <v>597</v>
      </c>
      <c r="E383" s="203" t="s">
        <v>2193</v>
      </c>
      <c r="F383" s="108">
        <f t="shared" si="70"/>
        <v>1984.5198699999999</v>
      </c>
      <c r="G383" s="106">
        <f aca="true" t="shared" si="71" ref="G383:G425">I383+K383+O383+S383+U383+W383+Y383+AA383+AC383+AE383+AR383+AX383+BC383+BG383+BP383+BR383+BT383+AO383</f>
        <v>763.3428799999999</v>
      </c>
      <c r="H383" s="106">
        <f aca="true" t="shared" si="72" ref="H383:H425">J383+L383+M383+N383+P383+Q383+R383+T383+V383+X383+Z383+AB383+AD383+AF383+AG383+AJ383+AL383+AS383+AT383+AU383+AV383+AW383+AY383+AZ383+BA383+BB383+BD383+BE383+BF383+BH383+BI383+BJ383+BL383+BM383+BN383+BO383+BQ383+BS383+BU383+AH383+AI383+AK383+AM383+AN383+AP383+AQ383+BK383</f>
        <v>1221.17699</v>
      </c>
      <c r="I383" s="107"/>
      <c r="J383" s="107"/>
      <c r="K383" s="107"/>
      <c r="L383" s="107"/>
      <c r="M383" s="107"/>
      <c r="N383" s="107"/>
      <c r="O383" s="106"/>
      <c r="P383" s="106"/>
      <c r="Q383" s="106"/>
      <c r="R383" s="106"/>
      <c r="S383" s="106"/>
      <c r="T383" s="106"/>
      <c r="U383" s="106"/>
      <c r="V383" s="106"/>
      <c r="W383" s="106">
        <v>162.40605</v>
      </c>
      <c r="X383" s="106">
        <v>84.78733</v>
      </c>
      <c r="Y383" s="107">
        <v>12.68989</v>
      </c>
      <c r="Z383" s="107">
        <v>60.19448</v>
      </c>
      <c r="AA383" s="159">
        <v>268.76336</v>
      </c>
      <c r="AB383" s="106">
        <v>198.07309</v>
      </c>
      <c r="AC383" s="107"/>
      <c r="AD383" s="107"/>
      <c r="AE383" s="107"/>
      <c r="AF383" s="107"/>
      <c r="AG383" s="107"/>
      <c r="AH383" s="107"/>
      <c r="AI383" s="107"/>
      <c r="AJ383" s="108">
        <v>101.94664</v>
      </c>
      <c r="AK383" s="107"/>
      <c r="AL383" s="107"/>
      <c r="AM383" s="107"/>
      <c r="AN383" s="107">
        <v>21.9189</v>
      </c>
      <c r="AO383" s="107"/>
      <c r="AP383" s="107"/>
      <c r="AQ383" s="107"/>
      <c r="AR383" s="107"/>
      <c r="AS383" s="107"/>
      <c r="AT383" s="107"/>
      <c r="AU383" s="107"/>
      <c r="AV383" s="107">
        <v>440.96</v>
      </c>
      <c r="AW383" s="107"/>
      <c r="AX383" s="107"/>
      <c r="AY383" s="106"/>
      <c r="AZ383" s="107"/>
      <c r="BA383" s="107"/>
      <c r="BB383" s="107"/>
      <c r="BC383" s="107">
        <v>319.48358</v>
      </c>
      <c r="BD383" s="107">
        <v>313.29655</v>
      </c>
      <c r="BE383" s="107"/>
      <c r="BF383" s="107"/>
      <c r="BG383" s="107"/>
      <c r="BH383" s="107"/>
      <c r="BI383" s="107"/>
      <c r="BJ383" s="107"/>
      <c r="BK383" s="107"/>
      <c r="BL383" s="107"/>
      <c r="BM383" s="107"/>
      <c r="BN383" s="107"/>
      <c r="BO383" s="107"/>
      <c r="BP383" s="107"/>
      <c r="BQ383" s="109"/>
      <c r="BR383" s="109"/>
      <c r="BS383" s="109"/>
      <c r="BT383" s="109"/>
      <c r="BU383" s="138"/>
    </row>
    <row r="384" spans="1:73" ht="33" customHeight="1" outlineLevel="2">
      <c r="A384" s="35" t="s">
        <v>456</v>
      </c>
      <c r="B384" s="19" t="s">
        <v>308</v>
      </c>
      <c r="C384" s="20" t="s">
        <v>1496</v>
      </c>
      <c r="D384" s="218">
        <v>2416006091</v>
      </c>
      <c r="E384" s="203" t="s">
        <v>2196</v>
      </c>
      <c r="F384" s="108">
        <f t="shared" si="70"/>
        <v>1907.0733</v>
      </c>
      <c r="G384" s="106">
        <f t="shared" si="71"/>
        <v>973.47717</v>
      </c>
      <c r="H384" s="106">
        <f t="shared" si="72"/>
        <v>933.59613</v>
      </c>
      <c r="I384" s="107"/>
      <c r="J384" s="107"/>
      <c r="K384" s="107"/>
      <c r="L384" s="107"/>
      <c r="M384" s="107"/>
      <c r="N384" s="107"/>
      <c r="O384" s="106"/>
      <c r="P384" s="106"/>
      <c r="Q384" s="106"/>
      <c r="R384" s="106"/>
      <c r="S384" s="106"/>
      <c r="T384" s="106"/>
      <c r="U384" s="106"/>
      <c r="V384" s="106"/>
      <c r="W384" s="106">
        <v>171.91457</v>
      </c>
      <c r="X384" s="106">
        <v>89.75144</v>
      </c>
      <c r="Y384" s="107"/>
      <c r="Z384" s="107"/>
      <c r="AA384" s="159">
        <v>127.2912</v>
      </c>
      <c r="AB384" s="106">
        <v>79.22924</v>
      </c>
      <c r="AC384" s="107"/>
      <c r="AD384" s="107"/>
      <c r="AE384" s="107"/>
      <c r="AF384" s="107"/>
      <c r="AG384" s="107"/>
      <c r="AH384" s="107"/>
      <c r="AI384" s="107"/>
      <c r="AJ384" s="108">
        <v>94.24304000000001</v>
      </c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7"/>
      <c r="AV384" s="107"/>
      <c r="AW384" s="107"/>
      <c r="AX384" s="107">
        <v>318.36304</v>
      </c>
      <c r="AY384" s="106">
        <v>44.63998</v>
      </c>
      <c r="AZ384" s="107"/>
      <c r="BA384" s="107"/>
      <c r="BB384" s="107"/>
      <c r="BC384" s="107">
        <v>355.90836</v>
      </c>
      <c r="BD384" s="107">
        <v>349.03713</v>
      </c>
      <c r="BE384" s="107"/>
      <c r="BF384" s="107"/>
      <c r="BG384" s="107"/>
      <c r="BH384" s="107"/>
      <c r="BI384" s="107"/>
      <c r="BJ384" s="107"/>
      <c r="BK384" s="107"/>
      <c r="BL384" s="107"/>
      <c r="BM384" s="107">
        <v>276.6953</v>
      </c>
      <c r="BN384" s="107"/>
      <c r="BO384" s="107"/>
      <c r="BP384" s="107"/>
      <c r="BQ384" s="109"/>
      <c r="BR384" s="109"/>
      <c r="BS384" s="109"/>
      <c r="BT384" s="109"/>
      <c r="BU384" s="138"/>
    </row>
    <row r="385" spans="1:73" ht="33" customHeight="1" outlineLevel="2">
      <c r="A385" s="35" t="s">
        <v>456</v>
      </c>
      <c r="B385" s="19" t="s">
        <v>604</v>
      </c>
      <c r="C385" s="20" t="s">
        <v>1496</v>
      </c>
      <c r="D385" s="218" t="s">
        <v>598</v>
      </c>
      <c r="E385" s="203" t="s">
        <v>2191</v>
      </c>
      <c r="F385" s="108">
        <f t="shared" si="70"/>
        <v>14946.43848</v>
      </c>
      <c r="G385" s="106">
        <f t="shared" si="71"/>
        <v>8944.139560000001</v>
      </c>
      <c r="H385" s="106">
        <f t="shared" si="72"/>
        <v>6002.29892</v>
      </c>
      <c r="I385" s="107">
        <v>2033.88989</v>
      </c>
      <c r="J385" s="107">
        <v>1131.87553</v>
      </c>
      <c r="K385" s="107">
        <v>69.12914</v>
      </c>
      <c r="L385" s="107">
        <v>13.76916</v>
      </c>
      <c r="M385" s="107"/>
      <c r="N385" s="107"/>
      <c r="O385" s="106"/>
      <c r="P385" s="106"/>
      <c r="Q385" s="106">
        <v>70.19314</v>
      </c>
      <c r="R385" s="106"/>
      <c r="S385" s="106"/>
      <c r="T385" s="106"/>
      <c r="U385" s="106"/>
      <c r="V385" s="106"/>
      <c r="W385" s="106"/>
      <c r="X385" s="106"/>
      <c r="Y385" s="107">
        <v>11.0761</v>
      </c>
      <c r="Z385" s="107"/>
      <c r="AA385" s="159">
        <v>388.73488</v>
      </c>
      <c r="AB385" s="106">
        <v>297.10964</v>
      </c>
      <c r="AC385" s="107"/>
      <c r="AD385" s="107"/>
      <c r="AE385" s="107"/>
      <c r="AF385" s="107"/>
      <c r="AG385" s="107"/>
      <c r="AH385" s="107"/>
      <c r="AI385" s="107"/>
      <c r="AJ385" s="108">
        <v>313.59708</v>
      </c>
      <c r="AK385" s="107">
        <f>41.5066+25.9405</f>
        <v>67.4471</v>
      </c>
      <c r="AL385" s="107"/>
      <c r="AM385" s="107"/>
      <c r="AN385" s="107"/>
      <c r="AO385" s="107">
        <v>2631.921</v>
      </c>
      <c r="AP385" s="107">
        <v>577.2</v>
      </c>
      <c r="AQ385" s="107"/>
      <c r="AR385" s="107"/>
      <c r="AS385" s="107"/>
      <c r="AT385" s="107"/>
      <c r="AU385" s="107"/>
      <c r="AV385" s="107"/>
      <c r="AW385" s="107"/>
      <c r="AX385" s="107">
        <v>2273.35689</v>
      </c>
      <c r="AY385" s="106">
        <v>808.10419</v>
      </c>
      <c r="AZ385" s="107"/>
      <c r="BA385" s="107">
        <v>65.35093</v>
      </c>
      <c r="BB385" s="107"/>
      <c r="BC385" s="107">
        <v>1536.03166</v>
      </c>
      <c r="BD385" s="107">
        <v>1506.40373</v>
      </c>
      <c r="BE385" s="107"/>
      <c r="BF385" s="107"/>
      <c r="BG385" s="107"/>
      <c r="BH385" s="107"/>
      <c r="BI385" s="107"/>
      <c r="BJ385" s="107">
        <v>1151.24842</v>
      </c>
      <c r="BK385" s="107"/>
      <c r="BL385" s="107"/>
      <c r="BM385" s="107"/>
      <c r="BN385" s="107"/>
      <c r="BO385" s="107"/>
      <c r="BP385" s="107"/>
      <c r="BQ385" s="109"/>
      <c r="BR385" s="109"/>
      <c r="BS385" s="109"/>
      <c r="BT385" s="109"/>
      <c r="BU385" s="138"/>
    </row>
    <row r="386" spans="1:73" ht="33" customHeight="1" outlineLevel="2">
      <c r="A386" s="35" t="s">
        <v>456</v>
      </c>
      <c r="B386" s="19" t="s">
        <v>1449</v>
      </c>
      <c r="C386" s="20" t="s">
        <v>1496</v>
      </c>
      <c r="D386" s="218" t="s">
        <v>734</v>
      </c>
      <c r="E386" s="203" t="s">
        <v>2189</v>
      </c>
      <c r="F386" s="108">
        <f t="shared" si="70"/>
        <v>406.84558000000004</v>
      </c>
      <c r="G386" s="106">
        <f t="shared" si="71"/>
        <v>219.05176</v>
      </c>
      <c r="H386" s="106">
        <f t="shared" si="72"/>
        <v>187.79382</v>
      </c>
      <c r="I386" s="107"/>
      <c r="J386" s="107"/>
      <c r="K386" s="107"/>
      <c r="L386" s="107"/>
      <c r="M386" s="107"/>
      <c r="N386" s="107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7">
        <v>3.04</v>
      </c>
      <c r="Z386" s="107">
        <v>7.986</v>
      </c>
      <c r="AA386" s="159">
        <v>93.24601</v>
      </c>
      <c r="AB386" s="106">
        <v>59.42193</v>
      </c>
      <c r="AC386" s="107"/>
      <c r="AD386" s="107"/>
      <c r="AE386" s="107"/>
      <c r="AF386" s="107"/>
      <c r="AG386" s="107"/>
      <c r="AH386" s="107"/>
      <c r="AI386" s="107"/>
      <c r="AJ386" s="108">
        <v>0</v>
      </c>
      <c r="AK386" s="107"/>
      <c r="AL386" s="107"/>
      <c r="AM386" s="107"/>
      <c r="AN386" s="107"/>
      <c r="AO386" s="107"/>
      <c r="AP386" s="107"/>
      <c r="AQ386" s="107"/>
      <c r="AR386" s="107"/>
      <c r="AS386" s="107"/>
      <c r="AT386" s="107"/>
      <c r="AU386" s="107"/>
      <c r="AV386" s="107"/>
      <c r="AW386" s="107"/>
      <c r="AX386" s="107"/>
      <c r="AY386" s="106"/>
      <c r="AZ386" s="107"/>
      <c r="BA386" s="107"/>
      <c r="BB386" s="107"/>
      <c r="BC386" s="107">
        <v>122.76575</v>
      </c>
      <c r="BD386" s="107">
        <v>120.38589</v>
      </c>
      <c r="BE386" s="107"/>
      <c r="BF386" s="107"/>
      <c r="BG386" s="107"/>
      <c r="BH386" s="107"/>
      <c r="BI386" s="107"/>
      <c r="BJ386" s="107"/>
      <c r="BK386" s="107"/>
      <c r="BL386" s="107"/>
      <c r="BM386" s="107"/>
      <c r="BN386" s="107"/>
      <c r="BO386" s="107"/>
      <c r="BP386" s="107"/>
      <c r="BQ386" s="109"/>
      <c r="BR386" s="109"/>
      <c r="BS386" s="109"/>
      <c r="BT386" s="109"/>
      <c r="BU386" s="138"/>
    </row>
    <row r="387" spans="1:73" ht="43.5" customHeight="1" outlineLevel="2">
      <c r="A387" s="35" t="s">
        <v>456</v>
      </c>
      <c r="B387" s="19" t="s">
        <v>1054</v>
      </c>
      <c r="C387" s="20" t="s">
        <v>1496</v>
      </c>
      <c r="D387" s="218" t="s">
        <v>973</v>
      </c>
      <c r="E387" s="203" t="s">
        <v>2197</v>
      </c>
      <c r="F387" s="108">
        <f t="shared" si="70"/>
        <v>750.26731</v>
      </c>
      <c r="G387" s="106">
        <f t="shared" si="71"/>
        <v>346.05562999999995</v>
      </c>
      <c r="H387" s="106">
        <f t="shared" si="72"/>
        <v>404.21168</v>
      </c>
      <c r="I387" s="107"/>
      <c r="J387" s="107"/>
      <c r="K387" s="107"/>
      <c r="L387" s="107"/>
      <c r="M387" s="107"/>
      <c r="N387" s="107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7">
        <v>8.41783</v>
      </c>
      <c r="Z387" s="107">
        <v>39.93</v>
      </c>
      <c r="AA387" s="159">
        <v>119.0679</v>
      </c>
      <c r="AB387" s="106">
        <v>69.32558</v>
      </c>
      <c r="AC387" s="107"/>
      <c r="AD387" s="107"/>
      <c r="AE387" s="107"/>
      <c r="AF387" s="107"/>
      <c r="AG387" s="107"/>
      <c r="AH387" s="107"/>
      <c r="AI387" s="107"/>
      <c r="AJ387" s="108">
        <v>80.62451999999999</v>
      </c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7"/>
      <c r="AV387" s="107"/>
      <c r="AW387" s="107"/>
      <c r="AX387" s="107"/>
      <c r="AY387" s="106"/>
      <c r="AZ387" s="107"/>
      <c r="BA387" s="107"/>
      <c r="BB387" s="107"/>
      <c r="BC387" s="107">
        <v>218.5699</v>
      </c>
      <c r="BD387" s="107">
        <v>214.33158</v>
      </c>
      <c r="BE387" s="107"/>
      <c r="BF387" s="107"/>
      <c r="BG387" s="107"/>
      <c r="BH387" s="107"/>
      <c r="BI387" s="107"/>
      <c r="BJ387" s="107"/>
      <c r="BK387" s="107"/>
      <c r="BL387" s="107"/>
      <c r="BM387" s="107"/>
      <c r="BN387" s="107"/>
      <c r="BO387" s="107"/>
      <c r="BP387" s="107"/>
      <c r="BQ387" s="109"/>
      <c r="BR387" s="109"/>
      <c r="BS387" s="109"/>
      <c r="BT387" s="109"/>
      <c r="BU387" s="138"/>
    </row>
    <row r="388" spans="1:73" ht="33.75" customHeight="1" outlineLevel="2">
      <c r="A388" s="35" t="s">
        <v>456</v>
      </c>
      <c r="B388" s="19" t="s">
        <v>599</v>
      </c>
      <c r="C388" s="20" t="s">
        <v>1496</v>
      </c>
      <c r="D388" s="218" t="s">
        <v>600</v>
      </c>
      <c r="E388" s="203" t="s">
        <v>2192</v>
      </c>
      <c r="F388" s="108">
        <f t="shared" si="70"/>
        <v>1297.4348</v>
      </c>
      <c r="G388" s="106">
        <f t="shared" si="71"/>
        <v>590.67545</v>
      </c>
      <c r="H388" s="106">
        <f t="shared" si="72"/>
        <v>706.75935</v>
      </c>
      <c r="I388" s="107"/>
      <c r="J388" s="107"/>
      <c r="K388" s="107">
        <v>91.32714</v>
      </c>
      <c r="L388" s="107">
        <v>13.54787</v>
      </c>
      <c r="M388" s="107"/>
      <c r="N388" s="107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7">
        <v>3.04</v>
      </c>
      <c r="Z388" s="107">
        <v>7.986</v>
      </c>
      <c r="AA388" s="159">
        <v>165.46259</v>
      </c>
      <c r="AB388" s="106">
        <v>89.13289</v>
      </c>
      <c r="AC388" s="107"/>
      <c r="AD388" s="107"/>
      <c r="AE388" s="107"/>
      <c r="AF388" s="107"/>
      <c r="AG388" s="107"/>
      <c r="AH388" s="107"/>
      <c r="AI388" s="107"/>
      <c r="AJ388" s="108">
        <v>98.35812</v>
      </c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7"/>
      <c r="AV388" s="107"/>
      <c r="AW388" s="107"/>
      <c r="AX388" s="107"/>
      <c r="AY388" s="106">
        <v>11.92005</v>
      </c>
      <c r="AZ388" s="107"/>
      <c r="BA388" s="107">
        <v>161.371</v>
      </c>
      <c r="BB388" s="107"/>
      <c r="BC388" s="107">
        <v>330.84572</v>
      </c>
      <c r="BD388" s="107">
        <v>324.44342</v>
      </c>
      <c r="BE388" s="107"/>
      <c r="BF388" s="107"/>
      <c r="BG388" s="107"/>
      <c r="BH388" s="107"/>
      <c r="BI388" s="107"/>
      <c r="BJ388" s="107"/>
      <c r="BK388" s="107"/>
      <c r="BL388" s="107"/>
      <c r="BM388" s="107"/>
      <c r="BN388" s="107"/>
      <c r="BO388" s="107"/>
      <c r="BP388" s="107"/>
      <c r="BQ388" s="109"/>
      <c r="BR388" s="109"/>
      <c r="BS388" s="109"/>
      <c r="BT388" s="109"/>
      <c r="BU388" s="138"/>
    </row>
    <row r="389" spans="1:73" ht="30.75" customHeight="1" outlineLevel="2">
      <c r="A389" s="35" t="s">
        <v>456</v>
      </c>
      <c r="B389" s="19" t="s">
        <v>953</v>
      </c>
      <c r="C389" s="20" t="s">
        <v>1496</v>
      </c>
      <c r="D389" s="218" t="s">
        <v>954</v>
      </c>
      <c r="E389" s="203" t="s">
        <v>2190</v>
      </c>
      <c r="F389" s="108">
        <f t="shared" si="70"/>
        <v>642.284</v>
      </c>
      <c r="G389" s="106">
        <f t="shared" si="71"/>
        <v>309.04603</v>
      </c>
      <c r="H389" s="106">
        <f t="shared" si="72"/>
        <v>333.23797</v>
      </c>
      <c r="I389" s="107"/>
      <c r="J389" s="107"/>
      <c r="K389" s="107"/>
      <c r="L389" s="107"/>
      <c r="M389" s="107"/>
      <c r="N389" s="107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7"/>
      <c r="Z389" s="107"/>
      <c r="AA389" s="159">
        <v>158.9228</v>
      </c>
      <c r="AB389" s="106">
        <v>116.86312</v>
      </c>
      <c r="AC389" s="107"/>
      <c r="AD389" s="107"/>
      <c r="AE389" s="107"/>
      <c r="AF389" s="107"/>
      <c r="AG389" s="107"/>
      <c r="AH389" s="107"/>
      <c r="AI389" s="107"/>
      <c r="AJ389" s="108">
        <v>69.15688</v>
      </c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7"/>
      <c r="AV389" s="107"/>
      <c r="AW389" s="107"/>
      <c r="AX389" s="107"/>
      <c r="AY389" s="106"/>
      <c r="AZ389" s="107"/>
      <c r="BA389" s="107"/>
      <c r="BB389" s="107"/>
      <c r="BC389" s="107">
        <v>150.12323</v>
      </c>
      <c r="BD389" s="107">
        <v>147.21797</v>
      </c>
      <c r="BE389" s="107"/>
      <c r="BF389" s="107"/>
      <c r="BG389" s="107"/>
      <c r="BH389" s="107"/>
      <c r="BI389" s="107"/>
      <c r="BJ389" s="107"/>
      <c r="BK389" s="107"/>
      <c r="BL389" s="107"/>
      <c r="BM389" s="107"/>
      <c r="BN389" s="107"/>
      <c r="BO389" s="107"/>
      <c r="BP389" s="107"/>
      <c r="BQ389" s="109"/>
      <c r="BR389" s="109"/>
      <c r="BS389" s="109"/>
      <c r="BT389" s="109"/>
      <c r="BU389" s="138"/>
    </row>
    <row r="390" spans="1:73" ht="33.75" customHeight="1" outlineLevel="2">
      <c r="A390" s="35" t="s">
        <v>456</v>
      </c>
      <c r="B390" s="19" t="s">
        <v>955</v>
      </c>
      <c r="C390" s="20" t="s">
        <v>1496</v>
      </c>
      <c r="D390" s="218" t="s">
        <v>464</v>
      </c>
      <c r="E390" s="203" t="s">
        <v>2188</v>
      </c>
      <c r="F390" s="108">
        <f t="shared" si="70"/>
        <v>635.78564</v>
      </c>
      <c r="G390" s="106">
        <f t="shared" si="71"/>
        <v>280.29791</v>
      </c>
      <c r="H390" s="106">
        <f t="shared" si="72"/>
        <v>355.48772999999994</v>
      </c>
      <c r="I390" s="107"/>
      <c r="J390" s="107"/>
      <c r="K390" s="107"/>
      <c r="L390" s="107"/>
      <c r="M390" s="107"/>
      <c r="N390" s="107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7"/>
      <c r="Z390" s="107"/>
      <c r="AA390" s="159"/>
      <c r="AB390" s="106"/>
      <c r="AC390" s="107"/>
      <c r="AD390" s="107"/>
      <c r="AE390" s="107"/>
      <c r="AF390" s="107"/>
      <c r="AG390" s="107"/>
      <c r="AH390" s="107"/>
      <c r="AI390" s="107"/>
      <c r="AJ390" s="108">
        <v>80.62451999999999</v>
      </c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7"/>
      <c r="AV390" s="107"/>
      <c r="AW390" s="107"/>
      <c r="AX390" s="107"/>
      <c r="AY390" s="106"/>
      <c r="AZ390" s="107"/>
      <c r="BA390" s="107"/>
      <c r="BB390" s="107"/>
      <c r="BC390" s="107">
        <v>280.29791</v>
      </c>
      <c r="BD390" s="107">
        <v>274.86321</v>
      </c>
      <c r="BE390" s="107"/>
      <c r="BF390" s="107"/>
      <c r="BG390" s="107"/>
      <c r="BH390" s="107"/>
      <c r="BI390" s="107"/>
      <c r="BJ390" s="107"/>
      <c r="BK390" s="107"/>
      <c r="BL390" s="107"/>
      <c r="BM390" s="107"/>
      <c r="BN390" s="107"/>
      <c r="BO390" s="107"/>
      <c r="BP390" s="107"/>
      <c r="BQ390" s="109"/>
      <c r="BR390" s="109"/>
      <c r="BS390" s="109"/>
      <c r="BT390" s="109"/>
      <c r="BU390" s="138"/>
    </row>
    <row r="391" spans="1:73" ht="35.25" customHeight="1" outlineLevel="2">
      <c r="A391" s="35" t="s">
        <v>456</v>
      </c>
      <c r="B391" s="19" t="s">
        <v>140</v>
      </c>
      <c r="C391" s="20" t="s">
        <v>1496</v>
      </c>
      <c r="D391" s="218" t="s">
        <v>141</v>
      </c>
      <c r="E391" s="203" t="s">
        <v>2195</v>
      </c>
      <c r="F391" s="108">
        <f t="shared" si="70"/>
        <v>1837.1239000000003</v>
      </c>
      <c r="G391" s="106">
        <f t="shared" si="71"/>
        <v>895.3588200000002</v>
      </c>
      <c r="H391" s="106">
        <f t="shared" si="72"/>
        <v>941.7650800000001</v>
      </c>
      <c r="I391" s="107"/>
      <c r="J391" s="107"/>
      <c r="K391" s="107">
        <v>258.49141</v>
      </c>
      <c r="L391" s="107">
        <v>46.89397</v>
      </c>
      <c r="M391" s="107"/>
      <c r="N391" s="107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7">
        <v>5.29482</v>
      </c>
      <c r="Z391" s="107">
        <v>25.11597</v>
      </c>
      <c r="AA391" s="159">
        <v>272.08316</v>
      </c>
      <c r="AB391" s="106">
        <v>194.11163</v>
      </c>
      <c r="AC391" s="107"/>
      <c r="AD391" s="107"/>
      <c r="AE391" s="107"/>
      <c r="AF391" s="107"/>
      <c r="AG391" s="107"/>
      <c r="AH391" s="107"/>
      <c r="AI391" s="107"/>
      <c r="AJ391" s="108">
        <v>323.11076</v>
      </c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7"/>
      <c r="AV391" s="107"/>
      <c r="AW391" s="107"/>
      <c r="AX391" s="107"/>
      <c r="AY391" s="106"/>
      <c r="AZ391" s="107"/>
      <c r="BA391" s="107"/>
      <c r="BB391" s="107"/>
      <c r="BC391" s="107">
        <v>359.48943</v>
      </c>
      <c r="BD391" s="107">
        <v>352.53275</v>
      </c>
      <c r="BE391" s="107"/>
      <c r="BF391" s="107"/>
      <c r="BG391" s="107"/>
      <c r="BH391" s="107"/>
      <c r="BI391" s="107"/>
      <c r="BJ391" s="107"/>
      <c r="BK391" s="107"/>
      <c r="BL391" s="107"/>
      <c r="BM391" s="107"/>
      <c r="BN391" s="107"/>
      <c r="BO391" s="107"/>
      <c r="BP391" s="107"/>
      <c r="BQ391" s="109"/>
      <c r="BR391" s="109"/>
      <c r="BS391" s="109"/>
      <c r="BT391" s="109"/>
      <c r="BU391" s="138"/>
    </row>
    <row r="392" spans="1:73" ht="38.25" customHeight="1" outlineLevel="2">
      <c r="A392" s="19" t="s">
        <v>456</v>
      </c>
      <c r="B392" s="19" t="s">
        <v>1410</v>
      </c>
      <c r="C392" s="20" t="s">
        <v>710</v>
      </c>
      <c r="D392" s="239">
        <v>241600739526</v>
      </c>
      <c r="E392" s="242" t="s">
        <v>2198</v>
      </c>
      <c r="F392" s="108">
        <f t="shared" si="70"/>
        <v>156.4916</v>
      </c>
      <c r="G392" s="106">
        <f t="shared" si="71"/>
        <v>87.16602</v>
      </c>
      <c r="H392" s="106">
        <f t="shared" si="72"/>
        <v>69.32558</v>
      </c>
      <c r="I392" s="107"/>
      <c r="J392" s="107"/>
      <c r="K392" s="107"/>
      <c r="L392" s="107"/>
      <c r="M392" s="107"/>
      <c r="N392" s="107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7"/>
      <c r="Z392" s="107"/>
      <c r="AA392" s="106">
        <v>87.16602</v>
      </c>
      <c r="AB392" s="106">
        <v>69.32558</v>
      </c>
      <c r="AC392" s="107"/>
      <c r="AD392" s="107"/>
      <c r="AE392" s="107"/>
      <c r="AF392" s="107"/>
      <c r="AG392" s="107"/>
      <c r="AH392" s="107"/>
      <c r="AI392" s="107"/>
      <c r="AJ392" s="108">
        <v>0</v>
      </c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7"/>
      <c r="AV392" s="107"/>
      <c r="AW392" s="107"/>
      <c r="AX392" s="107"/>
      <c r="AY392" s="106"/>
      <c r="AZ392" s="107"/>
      <c r="BA392" s="107"/>
      <c r="BB392" s="107"/>
      <c r="BC392" s="107"/>
      <c r="BD392" s="107"/>
      <c r="BE392" s="107"/>
      <c r="BF392" s="107"/>
      <c r="BG392" s="107"/>
      <c r="BH392" s="107"/>
      <c r="BI392" s="107"/>
      <c r="BJ392" s="107"/>
      <c r="BK392" s="107"/>
      <c r="BL392" s="107"/>
      <c r="BM392" s="107"/>
      <c r="BN392" s="107"/>
      <c r="BO392" s="107"/>
      <c r="BP392" s="107"/>
      <c r="BQ392" s="109"/>
      <c r="BR392" s="109"/>
      <c r="BS392" s="109"/>
      <c r="BT392" s="109"/>
      <c r="BU392" s="138"/>
    </row>
    <row r="393" spans="1:73" ht="38.25" customHeight="1" outlineLevel="2">
      <c r="A393" s="2" t="s">
        <v>456</v>
      </c>
      <c r="B393" s="3" t="s">
        <v>1165</v>
      </c>
      <c r="C393" s="4" t="s">
        <v>587</v>
      </c>
      <c r="D393" s="230" t="s">
        <v>1166</v>
      </c>
      <c r="E393" s="203" t="s">
        <v>2199</v>
      </c>
      <c r="F393" s="108">
        <f t="shared" si="70"/>
        <v>452.48531</v>
      </c>
      <c r="G393" s="106">
        <f t="shared" si="71"/>
        <v>221.40120000000002</v>
      </c>
      <c r="H393" s="106">
        <f t="shared" si="72"/>
        <v>231.08411</v>
      </c>
      <c r="I393" s="119"/>
      <c r="J393" s="119"/>
      <c r="K393" s="119"/>
      <c r="L393" s="119"/>
      <c r="M393" s="119"/>
      <c r="N393" s="119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19"/>
      <c r="Z393" s="119"/>
      <c r="AA393" s="163">
        <v>112.7852</v>
      </c>
      <c r="AB393" s="120">
        <v>81.20997</v>
      </c>
      <c r="AC393" s="119"/>
      <c r="AD393" s="119"/>
      <c r="AE393" s="119"/>
      <c r="AF393" s="119"/>
      <c r="AG393" s="119"/>
      <c r="AH393" s="119"/>
      <c r="AI393" s="119"/>
      <c r="AJ393" s="108">
        <v>43.357479999999995</v>
      </c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20"/>
      <c r="AZ393" s="119"/>
      <c r="BA393" s="119"/>
      <c r="BB393" s="119"/>
      <c r="BC393" s="119">
        <v>108.616</v>
      </c>
      <c r="BD393" s="119">
        <v>106.51666</v>
      </c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21"/>
      <c r="BR393" s="121"/>
      <c r="BS393" s="121"/>
      <c r="BT393" s="121"/>
      <c r="BU393" s="140"/>
    </row>
    <row r="394" spans="1:73" ht="38.25" customHeight="1" outlineLevel="2">
      <c r="A394" s="19" t="s">
        <v>456</v>
      </c>
      <c r="B394" s="19" t="s">
        <v>1620</v>
      </c>
      <c r="C394" s="20" t="s">
        <v>587</v>
      </c>
      <c r="D394" s="218" t="s">
        <v>1667</v>
      </c>
      <c r="E394" s="220" t="s">
        <v>2200</v>
      </c>
      <c r="F394" s="108">
        <f t="shared" si="70"/>
        <v>93.13488000000001</v>
      </c>
      <c r="G394" s="106">
        <f t="shared" si="71"/>
        <v>47.02404</v>
      </c>
      <c r="H394" s="106">
        <f t="shared" si="72"/>
        <v>46.11084</v>
      </c>
      <c r="I394" s="107"/>
      <c r="J394" s="107"/>
      <c r="K394" s="107"/>
      <c r="L394" s="107"/>
      <c r="M394" s="107"/>
      <c r="N394" s="107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7"/>
      <c r="Z394" s="107"/>
      <c r="AA394" s="159"/>
      <c r="AB394" s="106"/>
      <c r="AC394" s="107"/>
      <c r="AD394" s="107"/>
      <c r="AE394" s="107"/>
      <c r="AF394" s="107"/>
      <c r="AG394" s="107"/>
      <c r="AH394" s="107"/>
      <c r="AI394" s="107"/>
      <c r="AJ394" s="108">
        <v>0</v>
      </c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7"/>
      <c r="AV394" s="107"/>
      <c r="AW394" s="107"/>
      <c r="AX394" s="107"/>
      <c r="AY394" s="106"/>
      <c r="AZ394" s="107"/>
      <c r="BA394" s="107"/>
      <c r="BB394" s="107"/>
      <c r="BC394" s="107">
        <v>47.02404</v>
      </c>
      <c r="BD394" s="107">
        <v>46.11084</v>
      </c>
      <c r="BE394" s="107"/>
      <c r="BF394" s="107"/>
      <c r="BG394" s="107"/>
      <c r="BH394" s="107"/>
      <c r="BI394" s="107"/>
      <c r="BJ394" s="107"/>
      <c r="BK394" s="107"/>
      <c r="BL394" s="107"/>
      <c r="BM394" s="107"/>
      <c r="BN394" s="107"/>
      <c r="BO394" s="107"/>
      <c r="BP394" s="107"/>
      <c r="BQ394" s="109"/>
      <c r="BR394" s="109"/>
      <c r="BS394" s="109"/>
      <c r="BT394" s="109"/>
      <c r="BU394" s="138"/>
    </row>
    <row r="395" spans="1:73" ht="38.25" customHeight="1" outlineLevel="2">
      <c r="A395" s="35" t="s">
        <v>456</v>
      </c>
      <c r="B395" s="19" t="s">
        <v>209</v>
      </c>
      <c r="C395" s="20" t="s">
        <v>587</v>
      </c>
      <c r="D395" s="225" t="s">
        <v>1217</v>
      </c>
      <c r="E395" s="256" t="s">
        <v>2201</v>
      </c>
      <c r="F395" s="108">
        <f t="shared" si="70"/>
        <v>204.19745999999998</v>
      </c>
      <c r="G395" s="106">
        <f t="shared" si="71"/>
        <v>91.53685</v>
      </c>
      <c r="H395" s="106">
        <f t="shared" si="72"/>
        <v>112.66060999999999</v>
      </c>
      <c r="I395" s="107"/>
      <c r="J395" s="107"/>
      <c r="K395" s="107"/>
      <c r="L395" s="107"/>
      <c r="M395" s="107"/>
      <c r="N395" s="107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7">
        <v>4.56</v>
      </c>
      <c r="Z395" s="107">
        <v>11.979</v>
      </c>
      <c r="AA395" s="159">
        <v>44.25346</v>
      </c>
      <c r="AB395" s="106">
        <v>39.61462</v>
      </c>
      <c r="AC395" s="107"/>
      <c r="AD395" s="107"/>
      <c r="AE395" s="107"/>
      <c r="AF395" s="107"/>
      <c r="AG395" s="107"/>
      <c r="AH395" s="107"/>
      <c r="AI395" s="107"/>
      <c r="AJ395" s="108">
        <v>19.171239999999997</v>
      </c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7"/>
      <c r="AV395" s="107"/>
      <c r="AW395" s="107"/>
      <c r="AX395" s="107"/>
      <c r="AY395" s="106"/>
      <c r="AZ395" s="107"/>
      <c r="BA395" s="107"/>
      <c r="BB395" s="107"/>
      <c r="BC395" s="107">
        <v>42.72339</v>
      </c>
      <c r="BD395" s="107">
        <v>41.89575</v>
      </c>
      <c r="BE395" s="107"/>
      <c r="BF395" s="107"/>
      <c r="BG395" s="107"/>
      <c r="BH395" s="107"/>
      <c r="BI395" s="107"/>
      <c r="BJ395" s="107"/>
      <c r="BK395" s="107"/>
      <c r="BL395" s="107"/>
      <c r="BM395" s="107"/>
      <c r="BN395" s="107"/>
      <c r="BO395" s="107"/>
      <c r="BP395" s="107"/>
      <c r="BQ395" s="109"/>
      <c r="BR395" s="109"/>
      <c r="BS395" s="109"/>
      <c r="BT395" s="109"/>
      <c r="BU395" s="138"/>
    </row>
    <row r="396" spans="1:73" ht="38.25" customHeight="1" outlineLevel="2">
      <c r="A396" s="35" t="s">
        <v>456</v>
      </c>
      <c r="B396" s="19" t="s">
        <v>1623</v>
      </c>
      <c r="C396" s="20" t="s">
        <v>587</v>
      </c>
      <c r="D396" s="209" t="s">
        <v>1668</v>
      </c>
      <c r="E396" s="210" t="s">
        <v>2202</v>
      </c>
      <c r="F396" s="108">
        <f t="shared" si="70"/>
        <v>56.885239999999996</v>
      </c>
      <c r="G396" s="106">
        <f t="shared" si="71"/>
        <v>29.30773</v>
      </c>
      <c r="H396" s="106">
        <f t="shared" si="72"/>
        <v>27.57751</v>
      </c>
      <c r="I396" s="107"/>
      <c r="J396" s="107"/>
      <c r="K396" s="107"/>
      <c r="L396" s="107"/>
      <c r="M396" s="107"/>
      <c r="N396" s="107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7"/>
      <c r="Z396" s="107"/>
      <c r="AA396" s="159">
        <v>13.30319</v>
      </c>
      <c r="AB396" s="106">
        <v>11.88439</v>
      </c>
      <c r="AC396" s="107"/>
      <c r="AD396" s="107"/>
      <c r="AE396" s="107"/>
      <c r="AF396" s="107"/>
      <c r="AG396" s="107"/>
      <c r="AH396" s="107"/>
      <c r="AI396" s="107"/>
      <c r="AJ396" s="108">
        <v>0</v>
      </c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7"/>
      <c r="AV396" s="107"/>
      <c r="AW396" s="107"/>
      <c r="AX396" s="107"/>
      <c r="AY396" s="106"/>
      <c r="AZ396" s="107"/>
      <c r="BA396" s="107"/>
      <c r="BB396" s="107"/>
      <c r="BC396" s="107">
        <v>16.00454</v>
      </c>
      <c r="BD396" s="107">
        <v>15.69312</v>
      </c>
      <c r="BE396" s="107"/>
      <c r="BF396" s="107"/>
      <c r="BG396" s="107"/>
      <c r="BH396" s="107"/>
      <c r="BI396" s="107"/>
      <c r="BJ396" s="107"/>
      <c r="BK396" s="107"/>
      <c r="BL396" s="107"/>
      <c r="BM396" s="107"/>
      <c r="BN396" s="107"/>
      <c r="BO396" s="107"/>
      <c r="BP396" s="107"/>
      <c r="BQ396" s="109"/>
      <c r="BR396" s="109"/>
      <c r="BS396" s="109"/>
      <c r="BT396" s="109"/>
      <c r="BU396" s="138"/>
    </row>
    <row r="397" spans="1:73" ht="38.25" customHeight="1" outlineLevel="2">
      <c r="A397" s="35" t="s">
        <v>456</v>
      </c>
      <c r="B397" s="19" t="s">
        <v>804</v>
      </c>
      <c r="C397" s="20" t="s">
        <v>587</v>
      </c>
      <c r="D397" s="218" t="s">
        <v>1245</v>
      </c>
      <c r="E397" s="220" t="s">
        <v>2203</v>
      </c>
      <c r="F397" s="108">
        <f t="shared" si="70"/>
        <v>170.57574</v>
      </c>
      <c r="G397" s="106">
        <f t="shared" si="71"/>
        <v>76.06679</v>
      </c>
      <c r="H397" s="106">
        <f t="shared" si="72"/>
        <v>94.50895</v>
      </c>
      <c r="I397" s="107"/>
      <c r="J397" s="107"/>
      <c r="K397" s="107"/>
      <c r="L397" s="107"/>
      <c r="M397" s="107"/>
      <c r="N397" s="107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7"/>
      <c r="Z397" s="107"/>
      <c r="AA397" s="106">
        <v>30.78445</v>
      </c>
      <c r="AB397" s="106">
        <v>23.76877</v>
      </c>
      <c r="AC397" s="107"/>
      <c r="AD397" s="107"/>
      <c r="AE397" s="107"/>
      <c r="AF397" s="107"/>
      <c r="AG397" s="107"/>
      <c r="AH397" s="107"/>
      <c r="AI397" s="107"/>
      <c r="AJ397" s="108">
        <v>26.33712</v>
      </c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7"/>
      <c r="AV397" s="107"/>
      <c r="AW397" s="107"/>
      <c r="AX397" s="107"/>
      <c r="AY397" s="106"/>
      <c r="AZ397" s="107"/>
      <c r="BA397" s="107"/>
      <c r="BB397" s="107"/>
      <c r="BC397" s="107">
        <v>45.28234</v>
      </c>
      <c r="BD397" s="107">
        <v>44.40306</v>
      </c>
      <c r="BE397" s="107"/>
      <c r="BF397" s="107"/>
      <c r="BG397" s="107"/>
      <c r="BH397" s="107"/>
      <c r="BI397" s="107"/>
      <c r="BJ397" s="107"/>
      <c r="BK397" s="107"/>
      <c r="BL397" s="107"/>
      <c r="BM397" s="107"/>
      <c r="BN397" s="107"/>
      <c r="BO397" s="107"/>
      <c r="BP397" s="107"/>
      <c r="BQ397" s="109"/>
      <c r="BR397" s="109"/>
      <c r="BS397" s="109"/>
      <c r="BT397" s="109"/>
      <c r="BU397" s="138"/>
    </row>
    <row r="398" spans="1:73" ht="38.25" customHeight="1" outlineLevel="2">
      <c r="A398" s="35" t="s">
        <v>456</v>
      </c>
      <c r="B398" s="19" t="s">
        <v>584</v>
      </c>
      <c r="C398" s="20" t="s">
        <v>587</v>
      </c>
      <c r="D398" s="218" t="s">
        <v>1144</v>
      </c>
      <c r="E398" s="220" t="s">
        <v>2204</v>
      </c>
      <c r="F398" s="108">
        <f t="shared" si="70"/>
        <v>18.833109999999998</v>
      </c>
      <c r="G398" s="106">
        <f t="shared" si="71"/>
        <v>17.89146</v>
      </c>
      <c r="H398" s="106">
        <f t="shared" si="72"/>
        <v>0.94165</v>
      </c>
      <c r="I398" s="107"/>
      <c r="J398" s="107"/>
      <c r="K398" s="107"/>
      <c r="L398" s="107"/>
      <c r="M398" s="107"/>
      <c r="N398" s="107"/>
      <c r="O398" s="106">
        <v>17.89146</v>
      </c>
      <c r="P398" s="106">
        <v>0.94165</v>
      </c>
      <c r="Q398" s="106"/>
      <c r="R398" s="106"/>
      <c r="S398" s="106"/>
      <c r="T398" s="106"/>
      <c r="U398" s="106"/>
      <c r="V398" s="106"/>
      <c r="W398" s="106"/>
      <c r="X398" s="106"/>
      <c r="Y398" s="107"/>
      <c r="Z398" s="107"/>
      <c r="AA398" s="159"/>
      <c r="AB398" s="106"/>
      <c r="AC398" s="107"/>
      <c r="AD398" s="107"/>
      <c r="AE398" s="107"/>
      <c r="AF398" s="107"/>
      <c r="AG398" s="107"/>
      <c r="AH398" s="107"/>
      <c r="AI398" s="107"/>
      <c r="AJ398" s="108">
        <v>0</v>
      </c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7"/>
      <c r="AV398" s="107"/>
      <c r="AW398" s="107"/>
      <c r="AX398" s="107"/>
      <c r="AY398" s="106"/>
      <c r="AZ398" s="107"/>
      <c r="BA398" s="107"/>
      <c r="BB398" s="107"/>
      <c r="BC398" s="107"/>
      <c r="BD398" s="107"/>
      <c r="BE398" s="107"/>
      <c r="BF398" s="107"/>
      <c r="BG398" s="107"/>
      <c r="BH398" s="107"/>
      <c r="BI398" s="107"/>
      <c r="BJ398" s="107"/>
      <c r="BK398" s="107"/>
      <c r="BL398" s="107"/>
      <c r="BM398" s="107"/>
      <c r="BN398" s="107"/>
      <c r="BO398" s="107"/>
      <c r="BP398" s="107"/>
      <c r="BQ398" s="109"/>
      <c r="BR398" s="109"/>
      <c r="BS398" s="109"/>
      <c r="BT398" s="109"/>
      <c r="BU398" s="138"/>
    </row>
    <row r="399" spans="1:73" ht="38.25" customHeight="1" outlineLevel="2">
      <c r="A399" s="35" t="s">
        <v>456</v>
      </c>
      <c r="B399" s="19" t="s">
        <v>1750</v>
      </c>
      <c r="C399" s="20" t="s">
        <v>587</v>
      </c>
      <c r="D399" s="218" t="s">
        <v>1799</v>
      </c>
      <c r="E399" s="220" t="s">
        <v>2205</v>
      </c>
      <c r="F399" s="108">
        <f t="shared" si="70"/>
        <v>19.38254</v>
      </c>
      <c r="G399" s="106">
        <f t="shared" si="71"/>
        <v>13.44035</v>
      </c>
      <c r="H399" s="106">
        <f t="shared" si="72"/>
        <v>5.94219</v>
      </c>
      <c r="I399" s="107"/>
      <c r="J399" s="107"/>
      <c r="K399" s="107"/>
      <c r="L399" s="107"/>
      <c r="M399" s="107"/>
      <c r="N399" s="107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7"/>
      <c r="Z399" s="107"/>
      <c r="AA399" s="159">
        <v>13.44035</v>
      </c>
      <c r="AB399" s="106">
        <v>5.94219</v>
      </c>
      <c r="AC399" s="107"/>
      <c r="AD399" s="107"/>
      <c r="AE399" s="107"/>
      <c r="AF399" s="107"/>
      <c r="AG399" s="107"/>
      <c r="AH399" s="107"/>
      <c r="AI399" s="107"/>
      <c r="AJ399" s="108">
        <v>0</v>
      </c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7"/>
      <c r="AV399" s="107"/>
      <c r="AW399" s="107"/>
      <c r="AX399" s="107"/>
      <c r="AY399" s="106"/>
      <c r="AZ399" s="107"/>
      <c r="BA399" s="107"/>
      <c r="BB399" s="107"/>
      <c r="BC399" s="107"/>
      <c r="BD399" s="107"/>
      <c r="BE399" s="107"/>
      <c r="BF399" s="107"/>
      <c r="BG399" s="107"/>
      <c r="BH399" s="107"/>
      <c r="BI399" s="107"/>
      <c r="BJ399" s="107"/>
      <c r="BK399" s="107"/>
      <c r="BL399" s="107"/>
      <c r="BM399" s="107"/>
      <c r="BN399" s="107"/>
      <c r="BO399" s="107"/>
      <c r="BP399" s="107"/>
      <c r="BQ399" s="109"/>
      <c r="BR399" s="109"/>
      <c r="BS399" s="109"/>
      <c r="BT399" s="109"/>
      <c r="BU399" s="138"/>
    </row>
    <row r="400" spans="1:73" ht="38.25" customHeight="1" outlineLevel="2">
      <c r="A400" s="35" t="s">
        <v>456</v>
      </c>
      <c r="B400" s="19" t="s">
        <v>805</v>
      </c>
      <c r="C400" s="20" t="s">
        <v>587</v>
      </c>
      <c r="D400" s="218" t="s">
        <v>843</v>
      </c>
      <c r="E400" s="220" t="s">
        <v>2206</v>
      </c>
      <c r="F400" s="108">
        <f t="shared" si="70"/>
        <v>409.16714</v>
      </c>
      <c r="G400" s="106">
        <f t="shared" si="71"/>
        <v>123.48458</v>
      </c>
      <c r="H400" s="106">
        <f t="shared" si="72"/>
        <v>285.68256</v>
      </c>
      <c r="I400" s="107"/>
      <c r="J400" s="107"/>
      <c r="K400" s="107"/>
      <c r="L400" s="107"/>
      <c r="M400" s="107"/>
      <c r="N400" s="107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7">
        <v>21.04459</v>
      </c>
      <c r="Z400" s="107"/>
      <c r="AA400" s="159">
        <v>34.19235</v>
      </c>
      <c r="AB400" s="106">
        <v>29.71096</v>
      </c>
      <c r="AC400" s="107"/>
      <c r="AD400" s="107"/>
      <c r="AE400" s="107"/>
      <c r="AF400" s="107"/>
      <c r="AG400" s="107"/>
      <c r="AH400" s="107"/>
      <c r="AI400" s="107"/>
      <c r="AJ400" s="108">
        <v>15.4072</v>
      </c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7"/>
      <c r="AV400" s="107"/>
      <c r="AW400" s="107"/>
      <c r="AX400" s="107"/>
      <c r="AY400" s="106"/>
      <c r="AZ400" s="107"/>
      <c r="BA400" s="107"/>
      <c r="BB400" s="107"/>
      <c r="BC400" s="107">
        <v>68.24764</v>
      </c>
      <c r="BD400" s="107">
        <v>66.92498</v>
      </c>
      <c r="BE400" s="107"/>
      <c r="BF400" s="107"/>
      <c r="BG400" s="107"/>
      <c r="BH400" s="107"/>
      <c r="BI400" s="107"/>
      <c r="BJ400" s="107">
        <v>173.63942</v>
      </c>
      <c r="BK400" s="107"/>
      <c r="BL400" s="107"/>
      <c r="BM400" s="107"/>
      <c r="BN400" s="107"/>
      <c r="BO400" s="107"/>
      <c r="BP400" s="107"/>
      <c r="BQ400" s="109"/>
      <c r="BR400" s="109"/>
      <c r="BS400" s="109"/>
      <c r="BT400" s="109"/>
      <c r="BU400" s="138"/>
    </row>
    <row r="401" spans="1:73" ht="38.25" customHeight="1" outlineLevel="2">
      <c r="A401" s="35" t="s">
        <v>456</v>
      </c>
      <c r="B401" s="19" t="s">
        <v>1621</v>
      </c>
      <c r="C401" s="20" t="s">
        <v>587</v>
      </c>
      <c r="D401" s="218" t="s">
        <v>1669</v>
      </c>
      <c r="E401" s="220" t="s">
        <v>2207</v>
      </c>
      <c r="F401" s="108">
        <f t="shared" si="70"/>
        <v>54.86819</v>
      </c>
      <c r="G401" s="106">
        <f t="shared" si="71"/>
        <v>29.000999999999998</v>
      </c>
      <c r="H401" s="106">
        <f t="shared" si="72"/>
        <v>25.86719</v>
      </c>
      <c r="I401" s="107"/>
      <c r="J401" s="107"/>
      <c r="K401" s="107"/>
      <c r="L401" s="107"/>
      <c r="M401" s="107"/>
      <c r="N401" s="107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7"/>
      <c r="Z401" s="107"/>
      <c r="AA401" s="159">
        <v>14.74236</v>
      </c>
      <c r="AB401" s="106">
        <v>11.88439</v>
      </c>
      <c r="AC401" s="107"/>
      <c r="AD401" s="107"/>
      <c r="AE401" s="107"/>
      <c r="AF401" s="107"/>
      <c r="AG401" s="107"/>
      <c r="AH401" s="107"/>
      <c r="AI401" s="107"/>
      <c r="AJ401" s="108">
        <v>0</v>
      </c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7"/>
      <c r="AV401" s="107"/>
      <c r="AW401" s="107"/>
      <c r="AX401" s="107"/>
      <c r="AY401" s="106"/>
      <c r="AZ401" s="107"/>
      <c r="BA401" s="107"/>
      <c r="BB401" s="107"/>
      <c r="BC401" s="107">
        <v>14.25864</v>
      </c>
      <c r="BD401" s="107">
        <v>13.9828</v>
      </c>
      <c r="BE401" s="107"/>
      <c r="BF401" s="107"/>
      <c r="BG401" s="107"/>
      <c r="BH401" s="107"/>
      <c r="BI401" s="107"/>
      <c r="BJ401" s="107"/>
      <c r="BK401" s="107"/>
      <c r="BL401" s="107"/>
      <c r="BM401" s="107"/>
      <c r="BN401" s="107"/>
      <c r="BO401" s="107"/>
      <c r="BP401" s="107"/>
      <c r="BQ401" s="109"/>
      <c r="BR401" s="109"/>
      <c r="BS401" s="109"/>
      <c r="BT401" s="109"/>
      <c r="BU401" s="138"/>
    </row>
    <row r="402" spans="1:73" ht="38.25" customHeight="1" outlineLevel="2">
      <c r="A402" s="35" t="s">
        <v>456</v>
      </c>
      <c r="B402" s="19" t="s">
        <v>1622</v>
      </c>
      <c r="C402" s="20" t="s">
        <v>587</v>
      </c>
      <c r="D402" s="218" t="s">
        <v>1670</v>
      </c>
      <c r="E402" s="220" t="s">
        <v>2208</v>
      </c>
      <c r="F402" s="108">
        <f t="shared" si="70"/>
        <v>95.07353</v>
      </c>
      <c r="G402" s="106">
        <f t="shared" si="71"/>
        <v>56.678360000000005</v>
      </c>
      <c r="H402" s="106">
        <f t="shared" si="72"/>
        <v>38.39517</v>
      </c>
      <c r="I402" s="107"/>
      <c r="J402" s="107"/>
      <c r="K402" s="107"/>
      <c r="L402" s="107"/>
      <c r="M402" s="107"/>
      <c r="N402" s="107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7"/>
      <c r="Z402" s="107"/>
      <c r="AA402" s="159">
        <v>32.67155</v>
      </c>
      <c r="AB402" s="106">
        <v>14.85548</v>
      </c>
      <c r="AC402" s="107"/>
      <c r="AD402" s="107"/>
      <c r="AE402" s="107"/>
      <c r="AF402" s="107"/>
      <c r="AG402" s="107"/>
      <c r="AH402" s="107"/>
      <c r="AI402" s="107"/>
      <c r="AJ402" s="108">
        <v>0</v>
      </c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7"/>
      <c r="AV402" s="107"/>
      <c r="AW402" s="107"/>
      <c r="AX402" s="107"/>
      <c r="AY402" s="106"/>
      <c r="AZ402" s="107"/>
      <c r="BA402" s="107"/>
      <c r="BB402" s="107"/>
      <c r="BC402" s="107">
        <v>24.00681</v>
      </c>
      <c r="BD402" s="107">
        <v>23.53969</v>
      </c>
      <c r="BE402" s="107"/>
      <c r="BF402" s="107"/>
      <c r="BG402" s="107"/>
      <c r="BH402" s="107"/>
      <c r="BI402" s="107"/>
      <c r="BJ402" s="107"/>
      <c r="BK402" s="107"/>
      <c r="BL402" s="107"/>
      <c r="BM402" s="107"/>
      <c r="BN402" s="107"/>
      <c r="BO402" s="107"/>
      <c r="BP402" s="107"/>
      <c r="BQ402" s="109"/>
      <c r="BR402" s="109"/>
      <c r="BS402" s="109"/>
      <c r="BT402" s="109"/>
      <c r="BU402" s="138"/>
    </row>
    <row r="403" spans="1:73" ht="38.25" customHeight="1" outlineLevel="2">
      <c r="A403" s="35" t="s">
        <v>456</v>
      </c>
      <c r="B403" s="19" t="s">
        <v>9</v>
      </c>
      <c r="C403" s="20" t="s">
        <v>587</v>
      </c>
      <c r="D403" s="218" t="s">
        <v>10</v>
      </c>
      <c r="E403" s="220" t="s">
        <v>2209</v>
      </c>
      <c r="F403" s="108">
        <f t="shared" si="70"/>
        <v>323.52479999999997</v>
      </c>
      <c r="G403" s="106">
        <f t="shared" si="71"/>
        <v>40.98785</v>
      </c>
      <c r="H403" s="106">
        <f t="shared" si="72"/>
        <v>282.53695</v>
      </c>
      <c r="I403" s="107"/>
      <c r="J403" s="107"/>
      <c r="K403" s="107"/>
      <c r="L403" s="107"/>
      <c r="M403" s="107"/>
      <c r="N403" s="107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7"/>
      <c r="Z403" s="107"/>
      <c r="AA403" s="159">
        <v>17.49897</v>
      </c>
      <c r="AB403" s="106">
        <v>9.90365</v>
      </c>
      <c r="AC403" s="107"/>
      <c r="AD403" s="107"/>
      <c r="AE403" s="107"/>
      <c r="AF403" s="107"/>
      <c r="AG403" s="107"/>
      <c r="AH403" s="107"/>
      <c r="AI403" s="107"/>
      <c r="AJ403" s="108">
        <v>0</v>
      </c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7"/>
      <c r="AV403" s="107">
        <v>249.6</v>
      </c>
      <c r="AW403" s="107"/>
      <c r="AX403" s="107"/>
      <c r="AY403" s="106"/>
      <c r="AZ403" s="107"/>
      <c r="BA403" s="107"/>
      <c r="BB403" s="107"/>
      <c r="BC403" s="107">
        <v>23.48888</v>
      </c>
      <c r="BD403" s="107">
        <v>23.0333</v>
      </c>
      <c r="BE403" s="107"/>
      <c r="BF403" s="107"/>
      <c r="BG403" s="107"/>
      <c r="BH403" s="107"/>
      <c r="BI403" s="107"/>
      <c r="BJ403" s="107"/>
      <c r="BK403" s="107"/>
      <c r="BL403" s="107"/>
      <c r="BM403" s="107"/>
      <c r="BN403" s="107"/>
      <c r="BO403" s="107"/>
      <c r="BP403" s="107"/>
      <c r="BQ403" s="109"/>
      <c r="BR403" s="109"/>
      <c r="BS403" s="109"/>
      <c r="BT403" s="109"/>
      <c r="BU403" s="138"/>
    </row>
    <row r="404" spans="1:73" ht="38.25" customHeight="1" outlineLevel="2">
      <c r="A404" s="35" t="s">
        <v>456</v>
      </c>
      <c r="B404" s="19" t="s">
        <v>1204</v>
      </c>
      <c r="C404" s="20" t="s">
        <v>587</v>
      </c>
      <c r="D404" s="239">
        <v>241600775620</v>
      </c>
      <c r="E404" s="242" t="s">
        <v>2210</v>
      </c>
      <c r="F404" s="108">
        <f t="shared" si="70"/>
        <v>46.77808</v>
      </c>
      <c r="G404" s="106">
        <f t="shared" si="71"/>
        <v>14.17371</v>
      </c>
      <c r="H404" s="106">
        <f t="shared" si="72"/>
        <v>32.60437</v>
      </c>
      <c r="I404" s="107"/>
      <c r="J404" s="107"/>
      <c r="K404" s="107"/>
      <c r="L404" s="107"/>
      <c r="M404" s="107"/>
      <c r="N404" s="107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7"/>
      <c r="Z404" s="107"/>
      <c r="AA404" s="159">
        <v>5.5416</v>
      </c>
      <c r="AB404" s="106">
        <v>3.96146</v>
      </c>
      <c r="AC404" s="107"/>
      <c r="AD404" s="107"/>
      <c r="AE404" s="107"/>
      <c r="AF404" s="107"/>
      <c r="AG404" s="107"/>
      <c r="AH404" s="107"/>
      <c r="AI404" s="107"/>
      <c r="AJ404" s="108">
        <v>0</v>
      </c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7"/>
      <c r="AV404" s="107"/>
      <c r="AW404" s="107"/>
      <c r="AX404" s="107"/>
      <c r="AY404" s="106"/>
      <c r="AZ404" s="107">
        <v>20.178</v>
      </c>
      <c r="BA404" s="107"/>
      <c r="BB404" s="107"/>
      <c r="BC404" s="107">
        <v>8.63211</v>
      </c>
      <c r="BD404" s="107">
        <v>8.46491</v>
      </c>
      <c r="BE404" s="107"/>
      <c r="BF404" s="107"/>
      <c r="BG404" s="107"/>
      <c r="BH404" s="107"/>
      <c r="BI404" s="107"/>
      <c r="BJ404" s="107"/>
      <c r="BK404" s="107"/>
      <c r="BL404" s="107"/>
      <c r="BM404" s="107"/>
      <c r="BN404" s="107"/>
      <c r="BO404" s="107"/>
      <c r="BP404" s="107"/>
      <c r="BQ404" s="109"/>
      <c r="BR404" s="109"/>
      <c r="BS404" s="109"/>
      <c r="BT404" s="109"/>
      <c r="BU404" s="138"/>
    </row>
    <row r="405" spans="1:73" ht="38.25" customHeight="1" outlineLevel="2">
      <c r="A405" s="35" t="s">
        <v>456</v>
      </c>
      <c r="B405" s="19" t="s">
        <v>807</v>
      </c>
      <c r="C405" s="20" t="s">
        <v>587</v>
      </c>
      <c r="D405" s="218" t="s">
        <v>437</v>
      </c>
      <c r="E405" s="220" t="s">
        <v>2211</v>
      </c>
      <c r="F405" s="108">
        <f t="shared" si="70"/>
        <v>94.44103</v>
      </c>
      <c r="G405" s="106">
        <f t="shared" si="71"/>
        <v>45.63086</v>
      </c>
      <c r="H405" s="106">
        <f t="shared" si="72"/>
        <v>48.81017</v>
      </c>
      <c r="I405" s="107"/>
      <c r="J405" s="107"/>
      <c r="K405" s="107"/>
      <c r="L405" s="107"/>
      <c r="M405" s="107"/>
      <c r="N405" s="107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7">
        <v>1.26268</v>
      </c>
      <c r="Z405" s="107">
        <v>5.9895</v>
      </c>
      <c r="AA405" s="159">
        <v>12.8212</v>
      </c>
      <c r="AB405" s="106">
        <v>11.88439</v>
      </c>
      <c r="AC405" s="107"/>
      <c r="AD405" s="107"/>
      <c r="AE405" s="107"/>
      <c r="AF405" s="107"/>
      <c r="AG405" s="107"/>
      <c r="AH405" s="107"/>
      <c r="AI405" s="107"/>
      <c r="AJ405" s="108">
        <v>0</v>
      </c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7"/>
      <c r="AV405" s="107"/>
      <c r="AW405" s="107"/>
      <c r="AX405" s="107"/>
      <c r="AY405" s="106"/>
      <c r="AZ405" s="107"/>
      <c r="BA405" s="107"/>
      <c r="BB405" s="107"/>
      <c r="BC405" s="107">
        <v>31.54698</v>
      </c>
      <c r="BD405" s="107">
        <v>30.93628</v>
      </c>
      <c r="BE405" s="107"/>
      <c r="BF405" s="107"/>
      <c r="BG405" s="107"/>
      <c r="BH405" s="107"/>
      <c r="BI405" s="107"/>
      <c r="BJ405" s="107"/>
      <c r="BK405" s="107"/>
      <c r="BL405" s="107"/>
      <c r="BM405" s="107"/>
      <c r="BN405" s="107"/>
      <c r="BO405" s="107"/>
      <c r="BP405" s="107"/>
      <c r="BQ405" s="109"/>
      <c r="BR405" s="109"/>
      <c r="BS405" s="109"/>
      <c r="BT405" s="109"/>
      <c r="BU405" s="138"/>
    </row>
    <row r="406" spans="1:73" ht="38.25" customHeight="1" outlineLevel="2">
      <c r="A406" s="35" t="s">
        <v>456</v>
      </c>
      <c r="B406" s="19" t="s">
        <v>1476</v>
      </c>
      <c r="C406" s="20" t="s">
        <v>587</v>
      </c>
      <c r="D406" s="218" t="s">
        <v>1007</v>
      </c>
      <c r="E406" s="220" t="s">
        <v>2212</v>
      </c>
      <c r="F406" s="108">
        <f t="shared" si="70"/>
        <v>1393.78617</v>
      </c>
      <c r="G406" s="106">
        <f t="shared" si="71"/>
        <v>370.5473</v>
      </c>
      <c r="H406" s="106">
        <f t="shared" si="72"/>
        <v>1023.23887</v>
      </c>
      <c r="I406" s="107"/>
      <c r="J406" s="107"/>
      <c r="K406" s="107"/>
      <c r="L406" s="107"/>
      <c r="M406" s="107"/>
      <c r="N406" s="107"/>
      <c r="O406" s="106"/>
      <c r="P406" s="106"/>
      <c r="Q406" s="106"/>
      <c r="R406" s="106"/>
      <c r="S406" s="106"/>
      <c r="T406" s="106"/>
      <c r="U406" s="106"/>
      <c r="V406" s="106"/>
      <c r="W406" s="106">
        <v>96.26309</v>
      </c>
      <c r="X406" s="106">
        <v>50.25608</v>
      </c>
      <c r="Y406" s="107">
        <v>7.6</v>
      </c>
      <c r="Z406" s="107">
        <v>19.965</v>
      </c>
      <c r="AA406" s="159">
        <v>120.12849</v>
      </c>
      <c r="AB406" s="106">
        <v>69.32558</v>
      </c>
      <c r="AC406" s="107"/>
      <c r="AD406" s="107"/>
      <c r="AE406" s="107"/>
      <c r="AF406" s="107"/>
      <c r="AG406" s="107"/>
      <c r="AH406" s="107"/>
      <c r="AI406" s="107"/>
      <c r="AJ406" s="108">
        <v>0</v>
      </c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7"/>
      <c r="AV406" s="107">
        <v>382.72</v>
      </c>
      <c r="AW406" s="107"/>
      <c r="AX406" s="107"/>
      <c r="AY406" s="106"/>
      <c r="AZ406" s="107"/>
      <c r="BA406" s="107">
        <f>152.5+41.3315</f>
        <v>193.8315</v>
      </c>
      <c r="BB406" s="107"/>
      <c r="BC406" s="107">
        <v>146.55572</v>
      </c>
      <c r="BD406" s="107">
        <v>143.71537</v>
      </c>
      <c r="BE406" s="107"/>
      <c r="BF406" s="107"/>
      <c r="BG406" s="107"/>
      <c r="BH406" s="107"/>
      <c r="BI406" s="107"/>
      <c r="BJ406" s="107">
        <v>163.42534</v>
      </c>
      <c r="BK406" s="107"/>
      <c r="BL406" s="107"/>
      <c r="BM406" s="107"/>
      <c r="BN406" s="107"/>
      <c r="BO406" s="107"/>
      <c r="BP406" s="107"/>
      <c r="BQ406" s="109"/>
      <c r="BR406" s="109"/>
      <c r="BS406" s="109"/>
      <c r="BT406" s="109"/>
      <c r="BU406" s="138"/>
    </row>
    <row r="407" spans="1:73" ht="36.75" customHeight="1" outlineLevel="2">
      <c r="A407" s="35" t="s">
        <v>456</v>
      </c>
      <c r="B407" s="19" t="s">
        <v>29</v>
      </c>
      <c r="C407" s="20" t="s">
        <v>710</v>
      </c>
      <c r="D407" s="218" t="s">
        <v>1133</v>
      </c>
      <c r="E407" s="203" t="s">
        <v>2213</v>
      </c>
      <c r="F407" s="108">
        <f t="shared" si="70"/>
        <v>419.58451</v>
      </c>
      <c r="G407" s="106">
        <f t="shared" si="71"/>
        <v>0</v>
      </c>
      <c r="H407" s="106">
        <f t="shared" si="72"/>
        <v>419.58451</v>
      </c>
      <c r="I407" s="107"/>
      <c r="J407" s="107"/>
      <c r="K407" s="107"/>
      <c r="L407" s="107"/>
      <c r="M407" s="107"/>
      <c r="N407" s="107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7"/>
      <c r="Z407" s="107"/>
      <c r="AA407" s="106"/>
      <c r="AB407" s="106"/>
      <c r="AC407" s="107"/>
      <c r="AD407" s="107"/>
      <c r="AE407" s="107"/>
      <c r="AF407" s="107"/>
      <c r="AG407" s="107"/>
      <c r="AH407" s="107"/>
      <c r="AI407" s="107"/>
      <c r="AJ407" s="108">
        <v>0</v>
      </c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7"/>
      <c r="AV407" s="107"/>
      <c r="AW407" s="107"/>
      <c r="AX407" s="107"/>
      <c r="AY407" s="106"/>
      <c r="AZ407" s="107"/>
      <c r="BA407" s="107"/>
      <c r="BB407" s="107"/>
      <c r="BC407" s="107"/>
      <c r="BD407" s="107"/>
      <c r="BE407" s="107"/>
      <c r="BF407" s="107"/>
      <c r="BG407" s="107"/>
      <c r="BH407" s="107"/>
      <c r="BI407" s="107"/>
      <c r="BJ407" s="107"/>
      <c r="BK407" s="107"/>
      <c r="BL407" s="107"/>
      <c r="BM407" s="107">
        <v>419.58451</v>
      </c>
      <c r="BN407" s="107"/>
      <c r="BO407" s="107"/>
      <c r="BP407" s="107"/>
      <c r="BQ407" s="109"/>
      <c r="BR407" s="109"/>
      <c r="BS407" s="109"/>
      <c r="BT407" s="109"/>
      <c r="BU407" s="138"/>
    </row>
    <row r="408" spans="1:73" ht="38.25" customHeight="1" outlineLevel="2">
      <c r="A408" s="35" t="s">
        <v>456</v>
      </c>
      <c r="B408" s="19" t="s">
        <v>891</v>
      </c>
      <c r="C408" s="20" t="s">
        <v>710</v>
      </c>
      <c r="D408" s="218" t="s">
        <v>1132</v>
      </c>
      <c r="E408" s="220" t="s">
        <v>2214</v>
      </c>
      <c r="F408" s="108">
        <f t="shared" si="70"/>
        <v>1030.64564</v>
      </c>
      <c r="G408" s="106">
        <f t="shared" si="71"/>
        <v>188.00126</v>
      </c>
      <c r="H408" s="106">
        <f t="shared" si="72"/>
        <v>842.64438</v>
      </c>
      <c r="I408" s="107"/>
      <c r="J408" s="107"/>
      <c r="K408" s="107"/>
      <c r="L408" s="107"/>
      <c r="M408" s="107"/>
      <c r="N408" s="107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7"/>
      <c r="Z408" s="107"/>
      <c r="AA408" s="159">
        <v>65.94361</v>
      </c>
      <c r="AB408" s="106">
        <v>49.51827</v>
      </c>
      <c r="AC408" s="107"/>
      <c r="AD408" s="107"/>
      <c r="AE408" s="107"/>
      <c r="AF408" s="107"/>
      <c r="AG408" s="107"/>
      <c r="AH408" s="107"/>
      <c r="AI408" s="107"/>
      <c r="AJ408" s="108">
        <v>26.33712</v>
      </c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7"/>
      <c r="AV408" s="107">
        <v>341.12</v>
      </c>
      <c r="AW408" s="107"/>
      <c r="AX408" s="107"/>
      <c r="AY408" s="106"/>
      <c r="AZ408" s="107">
        <v>305.973</v>
      </c>
      <c r="BA408" s="107"/>
      <c r="BB408" s="107"/>
      <c r="BC408" s="107">
        <v>122.05765</v>
      </c>
      <c r="BD408" s="107">
        <v>119.69599</v>
      </c>
      <c r="BE408" s="107"/>
      <c r="BF408" s="107"/>
      <c r="BG408" s="107"/>
      <c r="BH408" s="107"/>
      <c r="BI408" s="107"/>
      <c r="BJ408" s="107"/>
      <c r="BK408" s="107"/>
      <c r="BL408" s="107"/>
      <c r="BM408" s="107"/>
      <c r="BN408" s="107"/>
      <c r="BO408" s="107"/>
      <c r="BP408" s="107"/>
      <c r="BQ408" s="109"/>
      <c r="BR408" s="109"/>
      <c r="BS408" s="109"/>
      <c r="BT408" s="109"/>
      <c r="BU408" s="138"/>
    </row>
    <row r="409" spans="1:73" ht="38.25" customHeight="1" outlineLevel="2">
      <c r="A409" s="35" t="s">
        <v>456</v>
      </c>
      <c r="B409" s="19" t="s">
        <v>1818</v>
      </c>
      <c r="C409" s="20" t="s">
        <v>587</v>
      </c>
      <c r="D409" s="218" t="s">
        <v>2216</v>
      </c>
      <c r="E409" s="220" t="s">
        <v>2215</v>
      </c>
      <c r="F409" s="108">
        <f t="shared" si="70"/>
        <v>1500</v>
      </c>
      <c r="G409" s="106">
        <f t="shared" si="71"/>
        <v>0</v>
      </c>
      <c r="H409" s="106">
        <f t="shared" si="72"/>
        <v>1500</v>
      </c>
      <c r="I409" s="107"/>
      <c r="J409" s="107"/>
      <c r="K409" s="107"/>
      <c r="L409" s="107"/>
      <c r="M409" s="107"/>
      <c r="N409" s="107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7"/>
      <c r="Z409" s="107"/>
      <c r="AA409" s="159"/>
      <c r="AB409" s="106"/>
      <c r="AC409" s="107"/>
      <c r="AD409" s="107"/>
      <c r="AE409" s="107"/>
      <c r="AF409" s="107"/>
      <c r="AG409" s="107"/>
      <c r="AH409" s="107"/>
      <c r="AI409" s="107"/>
      <c r="AJ409" s="108">
        <v>0</v>
      </c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7"/>
      <c r="AV409" s="107"/>
      <c r="AW409" s="107"/>
      <c r="AX409" s="107"/>
      <c r="AY409" s="106"/>
      <c r="AZ409" s="107"/>
      <c r="BA409" s="107"/>
      <c r="BB409" s="107"/>
      <c r="BC409" s="107"/>
      <c r="BD409" s="107"/>
      <c r="BE409" s="107"/>
      <c r="BF409" s="107"/>
      <c r="BG409" s="107"/>
      <c r="BH409" s="107"/>
      <c r="BI409" s="107"/>
      <c r="BJ409" s="107"/>
      <c r="BK409" s="107"/>
      <c r="BL409" s="107"/>
      <c r="BM409" s="107"/>
      <c r="BN409" s="107"/>
      <c r="BO409" s="107"/>
      <c r="BP409" s="107"/>
      <c r="BQ409" s="109"/>
      <c r="BR409" s="109"/>
      <c r="BS409" s="109">
        <v>1500</v>
      </c>
      <c r="BT409" s="109"/>
      <c r="BU409" s="138"/>
    </row>
    <row r="410" spans="1:73" ht="38.25" customHeight="1" outlineLevel="2">
      <c r="A410" s="35" t="s">
        <v>456</v>
      </c>
      <c r="B410" s="19" t="s">
        <v>1784</v>
      </c>
      <c r="C410" s="20" t="s">
        <v>587</v>
      </c>
      <c r="D410" s="251" t="s">
        <v>1800</v>
      </c>
      <c r="E410" s="252" t="s">
        <v>2217</v>
      </c>
      <c r="F410" s="108">
        <f t="shared" si="70"/>
        <v>1257.833</v>
      </c>
      <c r="G410" s="106">
        <f t="shared" si="71"/>
        <v>0</v>
      </c>
      <c r="H410" s="106">
        <f t="shared" si="72"/>
        <v>1257.833</v>
      </c>
      <c r="I410" s="107"/>
      <c r="J410" s="107"/>
      <c r="K410" s="107"/>
      <c r="L410" s="107"/>
      <c r="M410" s="107"/>
      <c r="N410" s="107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7"/>
      <c r="Z410" s="107"/>
      <c r="AA410" s="159"/>
      <c r="AB410" s="106"/>
      <c r="AC410" s="107"/>
      <c r="AD410" s="107"/>
      <c r="AE410" s="107"/>
      <c r="AF410" s="107"/>
      <c r="AG410" s="107"/>
      <c r="AH410" s="107"/>
      <c r="AI410" s="107"/>
      <c r="AJ410" s="108">
        <v>0</v>
      </c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7"/>
      <c r="AV410" s="107"/>
      <c r="AW410" s="107"/>
      <c r="AX410" s="107"/>
      <c r="AY410" s="106"/>
      <c r="AZ410" s="107"/>
      <c r="BA410" s="107"/>
      <c r="BB410" s="107"/>
      <c r="BC410" s="107"/>
      <c r="BD410" s="107"/>
      <c r="BE410" s="107"/>
      <c r="BF410" s="107"/>
      <c r="BG410" s="107"/>
      <c r="BH410" s="107"/>
      <c r="BI410" s="107"/>
      <c r="BJ410" s="107"/>
      <c r="BK410" s="107"/>
      <c r="BL410" s="107"/>
      <c r="BM410" s="107"/>
      <c r="BN410" s="107"/>
      <c r="BO410" s="107"/>
      <c r="BP410" s="107"/>
      <c r="BQ410" s="109"/>
      <c r="BR410" s="109"/>
      <c r="BS410" s="109">
        <v>1257.833</v>
      </c>
      <c r="BT410" s="109"/>
      <c r="BU410" s="138"/>
    </row>
    <row r="411" spans="1:73" ht="38.25" customHeight="1" outlineLevel="2">
      <c r="A411" s="35" t="s">
        <v>456</v>
      </c>
      <c r="B411" s="19" t="s">
        <v>549</v>
      </c>
      <c r="C411" s="20" t="s">
        <v>587</v>
      </c>
      <c r="D411" s="218" t="s">
        <v>1577</v>
      </c>
      <c r="E411" s="220" t="s">
        <v>2218</v>
      </c>
      <c r="F411" s="108">
        <f t="shared" si="70"/>
        <v>101.62563</v>
      </c>
      <c r="G411" s="106">
        <f t="shared" si="71"/>
        <v>0</v>
      </c>
      <c r="H411" s="106">
        <f t="shared" si="72"/>
        <v>101.62563</v>
      </c>
      <c r="I411" s="107"/>
      <c r="J411" s="107"/>
      <c r="K411" s="107"/>
      <c r="L411" s="107"/>
      <c r="M411" s="107"/>
      <c r="N411" s="107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7"/>
      <c r="Z411" s="107"/>
      <c r="AA411" s="159"/>
      <c r="AB411" s="106"/>
      <c r="AC411" s="107"/>
      <c r="AD411" s="107"/>
      <c r="AE411" s="107"/>
      <c r="AF411" s="107"/>
      <c r="AG411" s="107"/>
      <c r="AH411" s="107"/>
      <c r="AI411" s="107"/>
      <c r="AJ411" s="108">
        <v>0</v>
      </c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7"/>
      <c r="AV411" s="107"/>
      <c r="AW411" s="107"/>
      <c r="AX411" s="107"/>
      <c r="AY411" s="106">
        <v>6.02181</v>
      </c>
      <c r="AZ411" s="107"/>
      <c r="BA411" s="107"/>
      <c r="BB411" s="107"/>
      <c r="BC411" s="107"/>
      <c r="BD411" s="107"/>
      <c r="BE411" s="107"/>
      <c r="BF411" s="107"/>
      <c r="BG411" s="107"/>
      <c r="BH411" s="107"/>
      <c r="BI411" s="107"/>
      <c r="BJ411" s="107">
        <v>95.60382</v>
      </c>
      <c r="BK411" s="107"/>
      <c r="BL411" s="107"/>
      <c r="BM411" s="107"/>
      <c r="BN411" s="107"/>
      <c r="BO411" s="107"/>
      <c r="BP411" s="107"/>
      <c r="BQ411" s="109"/>
      <c r="BR411" s="109"/>
      <c r="BS411" s="109"/>
      <c r="BT411" s="109"/>
      <c r="BU411" s="138"/>
    </row>
    <row r="412" spans="1:73" ht="31.5" customHeight="1" outlineLevel="2">
      <c r="A412" s="35" t="s">
        <v>456</v>
      </c>
      <c r="B412" s="19" t="s">
        <v>438</v>
      </c>
      <c r="C412" s="20" t="s">
        <v>587</v>
      </c>
      <c r="D412" s="218" t="s">
        <v>439</v>
      </c>
      <c r="E412" s="203" t="s">
        <v>2219</v>
      </c>
      <c r="F412" s="108">
        <f t="shared" si="70"/>
        <v>264.96485</v>
      </c>
      <c r="G412" s="106">
        <f t="shared" si="71"/>
        <v>110.32369</v>
      </c>
      <c r="H412" s="106">
        <f t="shared" si="72"/>
        <v>154.64116</v>
      </c>
      <c r="I412" s="107"/>
      <c r="J412" s="107"/>
      <c r="K412" s="107"/>
      <c r="L412" s="107"/>
      <c r="M412" s="107"/>
      <c r="N412" s="107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7"/>
      <c r="Z412" s="107"/>
      <c r="AA412" s="159">
        <v>52.49081</v>
      </c>
      <c r="AB412" s="106">
        <v>36.64352</v>
      </c>
      <c r="AC412" s="107"/>
      <c r="AD412" s="107"/>
      <c r="AE412" s="107"/>
      <c r="AF412" s="107"/>
      <c r="AG412" s="107"/>
      <c r="AH412" s="107"/>
      <c r="AI412" s="107"/>
      <c r="AJ412" s="108">
        <v>0</v>
      </c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7"/>
      <c r="AV412" s="107"/>
      <c r="AW412" s="107"/>
      <c r="AX412" s="107"/>
      <c r="AY412" s="106"/>
      <c r="AZ412" s="107"/>
      <c r="BA412" s="107"/>
      <c r="BB412" s="107"/>
      <c r="BC412" s="107">
        <v>57.83288</v>
      </c>
      <c r="BD412" s="107">
        <v>56.71314</v>
      </c>
      <c r="BE412" s="107"/>
      <c r="BF412" s="107"/>
      <c r="BG412" s="107"/>
      <c r="BH412" s="107"/>
      <c r="BI412" s="107"/>
      <c r="BJ412" s="107">
        <v>61.2845</v>
      </c>
      <c r="BK412" s="107"/>
      <c r="BL412" s="107"/>
      <c r="BM412" s="107"/>
      <c r="BN412" s="107"/>
      <c r="BO412" s="107"/>
      <c r="BP412" s="107"/>
      <c r="BQ412" s="109"/>
      <c r="BR412" s="109"/>
      <c r="BS412" s="109"/>
      <c r="BT412" s="109"/>
      <c r="BU412" s="138"/>
    </row>
    <row r="413" spans="1:73" ht="33.75" customHeight="1" outlineLevel="2">
      <c r="A413" s="35" t="s">
        <v>456</v>
      </c>
      <c r="B413" s="19" t="s">
        <v>1619</v>
      </c>
      <c r="C413" s="20" t="s">
        <v>587</v>
      </c>
      <c r="D413" s="218" t="s">
        <v>1114</v>
      </c>
      <c r="E413" s="203" t="s">
        <v>2797</v>
      </c>
      <c r="F413" s="108">
        <f t="shared" si="70"/>
        <v>61.98929</v>
      </c>
      <c r="G413" s="106">
        <f t="shared" si="71"/>
        <v>26.04806</v>
      </c>
      <c r="H413" s="106">
        <f t="shared" si="72"/>
        <v>35.94123</v>
      </c>
      <c r="I413" s="107"/>
      <c r="J413" s="107"/>
      <c r="K413" s="107"/>
      <c r="L413" s="107"/>
      <c r="M413" s="107"/>
      <c r="N413" s="107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7"/>
      <c r="Z413" s="107"/>
      <c r="AA413" s="159"/>
      <c r="AB413" s="106"/>
      <c r="AC413" s="107"/>
      <c r="AD413" s="107"/>
      <c r="AE413" s="107"/>
      <c r="AF413" s="107"/>
      <c r="AG413" s="107"/>
      <c r="AH413" s="107"/>
      <c r="AI413" s="107"/>
      <c r="AJ413" s="108">
        <v>10.392199999999999</v>
      </c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7"/>
      <c r="AV413" s="107"/>
      <c r="AW413" s="107"/>
      <c r="AX413" s="107"/>
      <c r="AY413" s="106"/>
      <c r="AZ413" s="107"/>
      <c r="BA413" s="107"/>
      <c r="BB413" s="107"/>
      <c r="BC413" s="107">
        <v>26.04806</v>
      </c>
      <c r="BD413" s="107">
        <v>25.54903</v>
      </c>
      <c r="BE413" s="107"/>
      <c r="BF413" s="107"/>
      <c r="BG413" s="107"/>
      <c r="BH413" s="107"/>
      <c r="BI413" s="107"/>
      <c r="BJ413" s="107"/>
      <c r="BK413" s="107"/>
      <c r="BL413" s="107"/>
      <c r="BM413" s="107"/>
      <c r="BN413" s="107"/>
      <c r="BO413" s="107"/>
      <c r="BP413" s="107"/>
      <c r="BQ413" s="109"/>
      <c r="BR413" s="109"/>
      <c r="BS413" s="109"/>
      <c r="BT413" s="109"/>
      <c r="BU413" s="138"/>
    </row>
    <row r="414" spans="1:73" ht="39.75" customHeight="1" outlineLevel="2">
      <c r="A414" s="35" t="s">
        <v>456</v>
      </c>
      <c r="B414" s="19" t="s">
        <v>1398</v>
      </c>
      <c r="C414" s="20" t="s">
        <v>587</v>
      </c>
      <c r="D414" s="218" t="s">
        <v>1127</v>
      </c>
      <c r="E414" s="203" t="s">
        <v>2222</v>
      </c>
      <c r="F414" s="108">
        <f t="shared" si="70"/>
        <v>1020.6667</v>
      </c>
      <c r="G414" s="106">
        <f t="shared" si="71"/>
        <v>516.64346</v>
      </c>
      <c r="H414" s="106">
        <f t="shared" si="72"/>
        <v>504.02324</v>
      </c>
      <c r="I414" s="107"/>
      <c r="J414" s="107"/>
      <c r="K414" s="107"/>
      <c r="L414" s="107"/>
      <c r="M414" s="107"/>
      <c r="N414" s="107"/>
      <c r="O414" s="106">
        <v>85.82443</v>
      </c>
      <c r="P414" s="106">
        <v>4.51708</v>
      </c>
      <c r="Q414" s="106"/>
      <c r="R414" s="106"/>
      <c r="S414" s="106"/>
      <c r="T414" s="106"/>
      <c r="U414" s="106"/>
      <c r="V414" s="106"/>
      <c r="W414" s="106"/>
      <c r="X414" s="106"/>
      <c r="Y414" s="107"/>
      <c r="Z414" s="107"/>
      <c r="AA414" s="159">
        <v>193.70056</v>
      </c>
      <c r="AB414" s="106">
        <v>138.65116</v>
      </c>
      <c r="AC414" s="107"/>
      <c r="AD414" s="107"/>
      <c r="AE414" s="107"/>
      <c r="AF414" s="107"/>
      <c r="AG414" s="107"/>
      <c r="AH414" s="107"/>
      <c r="AI414" s="107"/>
      <c r="AJ414" s="108">
        <v>80.62451999999999</v>
      </c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7"/>
      <c r="AV414" s="107"/>
      <c r="AW414" s="107"/>
      <c r="AX414" s="107"/>
      <c r="AY414" s="106"/>
      <c r="AZ414" s="107"/>
      <c r="BA414" s="107"/>
      <c r="BB414" s="107"/>
      <c r="BC414" s="107">
        <v>237.11847</v>
      </c>
      <c r="BD414" s="107">
        <v>232.54207</v>
      </c>
      <c r="BE414" s="107"/>
      <c r="BF414" s="107"/>
      <c r="BG414" s="107"/>
      <c r="BH414" s="107"/>
      <c r="BI414" s="107"/>
      <c r="BJ414" s="107">
        <v>47.68841</v>
      </c>
      <c r="BK414" s="107"/>
      <c r="BL414" s="107"/>
      <c r="BM414" s="107"/>
      <c r="BN414" s="107"/>
      <c r="BO414" s="107"/>
      <c r="BP414" s="107"/>
      <c r="BQ414" s="109"/>
      <c r="BR414" s="109"/>
      <c r="BS414" s="109"/>
      <c r="BT414" s="109"/>
      <c r="BU414" s="138"/>
    </row>
    <row r="415" spans="1:73" ht="51.75" customHeight="1" outlineLevel="2">
      <c r="A415" s="35" t="s">
        <v>456</v>
      </c>
      <c r="B415" s="19" t="s">
        <v>1618</v>
      </c>
      <c r="C415" s="20" t="s">
        <v>587</v>
      </c>
      <c r="D415" s="218" t="s">
        <v>938</v>
      </c>
      <c r="E415" s="203" t="s">
        <v>2220</v>
      </c>
      <c r="F415" s="108">
        <f t="shared" si="70"/>
        <v>127.10192</v>
      </c>
      <c r="G415" s="106">
        <f t="shared" si="71"/>
        <v>67.11534</v>
      </c>
      <c r="H415" s="106">
        <f t="shared" si="72"/>
        <v>59.98658</v>
      </c>
      <c r="I415" s="107"/>
      <c r="J415" s="107"/>
      <c r="K415" s="107"/>
      <c r="L415" s="107"/>
      <c r="M415" s="107"/>
      <c r="N415" s="107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7"/>
      <c r="Z415" s="107"/>
      <c r="AA415" s="159">
        <v>30.67973</v>
      </c>
      <c r="AB415" s="106">
        <v>13.86512</v>
      </c>
      <c r="AC415" s="107"/>
      <c r="AD415" s="107"/>
      <c r="AE415" s="107"/>
      <c r="AF415" s="107"/>
      <c r="AG415" s="107"/>
      <c r="AH415" s="107"/>
      <c r="AI415" s="107"/>
      <c r="AJ415" s="108">
        <v>10.392199999999999</v>
      </c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7"/>
      <c r="AV415" s="107"/>
      <c r="AW415" s="107"/>
      <c r="AX415" s="107"/>
      <c r="AY415" s="106"/>
      <c r="AZ415" s="107"/>
      <c r="BA415" s="107"/>
      <c r="BB415" s="107"/>
      <c r="BC415" s="107">
        <v>36.43561</v>
      </c>
      <c r="BD415" s="107">
        <v>35.72926</v>
      </c>
      <c r="BE415" s="107"/>
      <c r="BF415" s="107"/>
      <c r="BG415" s="107"/>
      <c r="BH415" s="107"/>
      <c r="BI415" s="107"/>
      <c r="BJ415" s="107"/>
      <c r="BK415" s="107"/>
      <c r="BL415" s="107"/>
      <c r="BM415" s="107"/>
      <c r="BN415" s="107"/>
      <c r="BO415" s="107"/>
      <c r="BP415" s="107"/>
      <c r="BQ415" s="109"/>
      <c r="BR415" s="109"/>
      <c r="BS415" s="109"/>
      <c r="BT415" s="109"/>
      <c r="BU415" s="138"/>
    </row>
    <row r="416" spans="1:73" ht="54.75" customHeight="1" outlineLevel="2">
      <c r="A416" s="35" t="s">
        <v>456</v>
      </c>
      <c r="B416" s="19" t="s">
        <v>889</v>
      </c>
      <c r="C416" s="20" t="s">
        <v>587</v>
      </c>
      <c r="D416" s="218" t="s">
        <v>986</v>
      </c>
      <c r="E416" s="203" t="s">
        <v>2226</v>
      </c>
      <c r="F416" s="108">
        <f t="shared" si="70"/>
        <v>4042.6248100000003</v>
      </c>
      <c r="G416" s="106">
        <f t="shared" si="71"/>
        <v>1143.96614</v>
      </c>
      <c r="H416" s="106">
        <f t="shared" si="72"/>
        <v>2898.6586700000003</v>
      </c>
      <c r="I416" s="107"/>
      <c r="J416" s="107"/>
      <c r="K416" s="107">
        <v>656.34109</v>
      </c>
      <c r="L416" s="107">
        <v>172.85347</v>
      </c>
      <c r="M416" s="107">
        <v>117.64123</v>
      </c>
      <c r="N416" s="107"/>
      <c r="O416" s="106">
        <v>27.86149</v>
      </c>
      <c r="P416" s="106">
        <v>1.07097</v>
      </c>
      <c r="Q416" s="106"/>
      <c r="R416" s="106"/>
      <c r="S416" s="106"/>
      <c r="T416" s="106"/>
      <c r="U416" s="106"/>
      <c r="V416" s="106"/>
      <c r="W416" s="106"/>
      <c r="X416" s="106"/>
      <c r="Y416" s="107"/>
      <c r="Z416" s="107"/>
      <c r="AA416" s="159">
        <v>223.51251</v>
      </c>
      <c r="AB416" s="106">
        <v>118.84385</v>
      </c>
      <c r="AC416" s="107"/>
      <c r="AD416" s="107"/>
      <c r="AE416" s="107"/>
      <c r="AF416" s="107"/>
      <c r="AG416" s="107"/>
      <c r="AH416" s="107"/>
      <c r="AI416" s="107"/>
      <c r="AJ416" s="108">
        <v>79.54908</v>
      </c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7"/>
      <c r="AV416" s="107"/>
      <c r="AW416" s="107"/>
      <c r="AX416" s="107"/>
      <c r="AY416" s="106"/>
      <c r="AZ416" s="107"/>
      <c r="BA416" s="107"/>
      <c r="BB416" s="107"/>
      <c r="BC416" s="107">
        <v>236.25105</v>
      </c>
      <c r="BD416" s="107">
        <v>231.69178</v>
      </c>
      <c r="BE416" s="107"/>
      <c r="BF416" s="107"/>
      <c r="BG416" s="107"/>
      <c r="BH416" s="107"/>
      <c r="BI416" s="107"/>
      <c r="BJ416" s="107">
        <v>2177.00829</v>
      </c>
      <c r="BK416" s="107"/>
      <c r="BL416" s="107"/>
      <c r="BM416" s="107"/>
      <c r="BN416" s="107"/>
      <c r="BO416" s="107"/>
      <c r="BP416" s="107"/>
      <c r="BQ416" s="109"/>
      <c r="BR416" s="109"/>
      <c r="BS416" s="109"/>
      <c r="BT416" s="109"/>
      <c r="BU416" s="138"/>
    </row>
    <row r="417" spans="1:73" ht="45.75" customHeight="1" outlineLevel="2">
      <c r="A417" s="19" t="s">
        <v>456</v>
      </c>
      <c r="B417" s="19" t="s">
        <v>282</v>
      </c>
      <c r="C417" s="20" t="s">
        <v>587</v>
      </c>
      <c r="D417" s="225" t="s">
        <v>349</v>
      </c>
      <c r="E417" s="203" t="s">
        <v>2229</v>
      </c>
      <c r="F417" s="108">
        <f t="shared" si="70"/>
        <v>228.95091</v>
      </c>
      <c r="G417" s="106">
        <f t="shared" si="71"/>
        <v>104.73978</v>
      </c>
      <c r="H417" s="106">
        <f t="shared" si="72"/>
        <v>124.21113</v>
      </c>
      <c r="I417" s="107"/>
      <c r="J417" s="107"/>
      <c r="K417" s="107"/>
      <c r="L417" s="107"/>
      <c r="M417" s="107"/>
      <c r="N417" s="107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7"/>
      <c r="Z417" s="107"/>
      <c r="AA417" s="159">
        <v>53.81226</v>
      </c>
      <c r="AB417" s="106">
        <v>47.93369</v>
      </c>
      <c r="AC417" s="107"/>
      <c r="AD417" s="107"/>
      <c r="AE417" s="107"/>
      <c r="AF417" s="107"/>
      <c r="AG417" s="107"/>
      <c r="AH417" s="107"/>
      <c r="AI417" s="107"/>
      <c r="AJ417" s="108">
        <v>26.33712</v>
      </c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7"/>
      <c r="AV417" s="107"/>
      <c r="AW417" s="107"/>
      <c r="AX417" s="107"/>
      <c r="AY417" s="106"/>
      <c r="AZ417" s="107"/>
      <c r="BA417" s="107"/>
      <c r="BB417" s="107"/>
      <c r="BC417" s="107">
        <v>50.92752</v>
      </c>
      <c r="BD417" s="107">
        <v>49.94032</v>
      </c>
      <c r="BE417" s="107"/>
      <c r="BF417" s="107"/>
      <c r="BG417" s="107"/>
      <c r="BH417" s="107"/>
      <c r="BI417" s="107"/>
      <c r="BJ417" s="107"/>
      <c r="BK417" s="107"/>
      <c r="BL417" s="107"/>
      <c r="BM417" s="107"/>
      <c r="BN417" s="107"/>
      <c r="BO417" s="107"/>
      <c r="BP417" s="107"/>
      <c r="BQ417" s="109"/>
      <c r="BR417" s="109"/>
      <c r="BS417" s="109"/>
      <c r="BT417" s="109"/>
      <c r="BU417" s="138"/>
    </row>
    <row r="418" spans="1:73" ht="31.5" customHeight="1" outlineLevel="2">
      <c r="A418" s="35" t="s">
        <v>456</v>
      </c>
      <c r="B418" s="19" t="s">
        <v>152</v>
      </c>
      <c r="C418" s="20" t="s">
        <v>587</v>
      </c>
      <c r="D418" s="218" t="s">
        <v>939</v>
      </c>
      <c r="E418" s="203" t="s">
        <v>2228</v>
      </c>
      <c r="F418" s="108">
        <f t="shared" si="70"/>
        <v>1112.01936</v>
      </c>
      <c r="G418" s="106">
        <f t="shared" si="71"/>
        <v>241.61506</v>
      </c>
      <c r="H418" s="106">
        <f t="shared" si="72"/>
        <v>870.4042999999999</v>
      </c>
      <c r="I418" s="107"/>
      <c r="J418" s="107"/>
      <c r="K418" s="107"/>
      <c r="L418" s="107"/>
      <c r="M418" s="107">
        <v>260.66358</v>
      </c>
      <c r="N418" s="107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7"/>
      <c r="Z418" s="107"/>
      <c r="AA418" s="159">
        <v>77.87626</v>
      </c>
      <c r="AB418" s="106">
        <v>69.32558</v>
      </c>
      <c r="AC418" s="107"/>
      <c r="AD418" s="107"/>
      <c r="AE418" s="107"/>
      <c r="AF418" s="107"/>
      <c r="AG418" s="107"/>
      <c r="AH418" s="107"/>
      <c r="AI418" s="107"/>
      <c r="AJ418" s="108">
        <v>71.30776</v>
      </c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7"/>
      <c r="AV418" s="107"/>
      <c r="AW418" s="107"/>
      <c r="AX418" s="107"/>
      <c r="AY418" s="106"/>
      <c r="AZ418" s="107"/>
      <c r="BA418" s="107"/>
      <c r="BB418" s="107"/>
      <c r="BC418" s="107">
        <v>163.7388</v>
      </c>
      <c r="BD418" s="107">
        <v>160.57053</v>
      </c>
      <c r="BE418" s="107"/>
      <c r="BF418" s="107"/>
      <c r="BG418" s="107"/>
      <c r="BH418" s="107"/>
      <c r="BI418" s="107"/>
      <c r="BJ418" s="107">
        <v>308.53685</v>
      </c>
      <c r="BK418" s="107"/>
      <c r="BL418" s="107"/>
      <c r="BM418" s="107"/>
      <c r="BN418" s="107"/>
      <c r="BO418" s="107"/>
      <c r="BP418" s="107"/>
      <c r="BQ418" s="109"/>
      <c r="BR418" s="109"/>
      <c r="BS418" s="109"/>
      <c r="BT418" s="109"/>
      <c r="BU418" s="138"/>
    </row>
    <row r="419" spans="1:73" ht="39" customHeight="1" outlineLevel="2">
      <c r="A419" s="19" t="s">
        <v>456</v>
      </c>
      <c r="B419" s="19" t="s">
        <v>281</v>
      </c>
      <c r="C419" s="20" t="s">
        <v>587</v>
      </c>
      <c r="D419" s="225" t="s">
        <v>350</v>
      </c>
      <c r="E419" s="203" t="s">
        <v>2230</v>
      </c>
      <c r="F419" s="108">
        <f t="shared" si="70"/>
        <v>38.860780000000005</v>
      </c>
      <c r="G419" s="106">
        <f t="shared" si="71"/>
        <v>20.23694</v>
      </c>
      <c r="H419" s="106">
        <f t="shared" si="72"/>
        <v>18.62384</v>
      </c>
      <c r="I419" s="107"/>
      <c r="J419" s="107"/>
      <c r="K419" s="107"/>
      <c r="L419" s="107"/>
      <c r="M419" s="107"/>
      <c r="N419" s="107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7"/>
      <c r="Z419" s="107"/>
      <c r="AA419" s="159">
        <v>7.3048</v>
      </c>
      <c r="AB419" s="106">
        <v>5.94219</v>
      </c>
      <c r="AC419" s="107"/>
      <c r="AD419" s="107"/>
      <c r="AE419" s="107"/>
      <c r="AF419" s="107"/>
      <c r="AG419" s="107"/>
      <c r="AH419" s="107"/>
      <c r="AI419" s="107"/>
      <c r="AJ419" s="108">
        <v>0</v>
      </c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7"/>
      <c r="AV419" s="107"/>
      <c r="AW419" s="107"/>
      <c r="AX419" s="107"/>
      <c r="AY419" s="106"/>
      <c r="AZ419" s="107"/>
      <c r="BA419" s="107"/>
      <c r="BB419" s="107"/>
      <c r="BC419" s="107">
        <v>12.93214</v>
      </c>
      <c r="BD419" s="107">
        <v>12.68165</v>
      </c>
      <c r="BE419" s="107"/>
      <c r="BF419" s="107"/>
      <c r="BG419" s="107"/>
      <c r="BH419" s="107"/>
      <c r="BI419" s="107"/>
      <c r="BJ419" s="107"/>
      <c r="BK419" s="107"/>
      <c r="BL419" s="107"/>
      <c r="BM419" s="107"/>
      <c r="BN419" s="107"/>
      <c r="BO419" s="107"/>
      <c r="BP419" s="107"/>
      <c r="BQ419" s="109"/>
      <c r="BR419" s="109"/>
      <c r="BS419" s="109"/>
      <c r="BT419" s="109"/>
      <c r="BU419" s="138"/>
    </row>
    <row r="420" spans="1:73" ht="32.25" customHeight="1" outlineLevel="2">
      <c r="A420" s="35" t="s">
        <v>456</v>
      </c>
      <c r="B420" s="19" t="s">
        <v>1441</v>
      </c>
      <c r="C420" s="20" t="s">
        <v>587</v>
      </c>
      <c r="D420" s="218" t="s">
        <v>465</v>
      </c>
      <c r="E420" s="203" t="s">
        <v>2227</v>
      </c>
      <c r="F420" s="108">
        <f t="shared" si="70"/>
        <v>215.42491</v>
      </c>
      <c r="G420" s="106">
        <f t="shared" si="71"/>
        <v>92.84385</v>
      </c>
      <c r="H420" s="106">
        <f t="shared" si="72"/>
        <v>122.58106</v>
      </c>
      <c r="I420" s="107"/>
      <c r="J420" s="107"/>
      <c r="K420" s="107"/>
      <c r="L420" s="107"/>
      <c r="M420" s="107"/>
      <c r="N420" s="107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7">
        <v>1.68357</v>
      </c>
      <c r="Z420" s="107">
        <v>5.9895</v>
      </c>
      <c r="AA420" s="159">
        <v>24.45887</v>
      </c>
      <c r="AB420" s="106">
        <v>23.76877</v>
      </c>
      <c r="AC420" s="107"/>
      <c r="AD420" s="107"/>
      <c r="AE420" s="107"/>
      <c r="AF420" s="107"/>
      <c r="AG420" s="107"/>
      <c r="AH420" s="107"/>
      <c r="AI420" s="107"/>
      <c r="AJ420" s="108">
        <v>27.41256</v>
      </c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7"/>
      <c r="AV420" s="107"/>
      <c r="AW420" s="107"/>
      <c r="AX420" s="107"/>
      <c r="AY420" s="106"/>
      <c r="AZ420" s="107"/>
      <c r="BA420" s="107"/>
      <c r="BB420" s="107"/>
      <c r="BC420" s="107">
        <v>66.70141</v>
      </c>
      <c r="BD420" s="107">
        <v>65.41023</v>
      </c>
      <c r="BE420" s="107"/>
      <c r="BF420" s="107"/>
      <c r="BG420" s="107"/>
      <c r="BH420" s="107"/>
      <c r="BI420" s="107"/>
      <c r="BJ420" s="107"/>
      <c r="BK420" s="107"/>
      <c r="BL420" s="107"/>
      <c r="BM420" s="107"/>
      <c r="BN420" s="107"/>
      <c r="BO420" s="107"/>
      <c r="BP420" s="107"/>
      <c r="BQ420" s="109"/>
      <c r="BR420" s="109"/>
      <c r="BS420" s="109"/>
      <c r="BT420" s="109"/>
      <c r="BU420" s="138"/>
    </row>
    <row r="421" spans="1:73" ht="36" customHeight="1" outlineLevel="2">
      <c r="A421" s="35" t="s">
        <v>456</v>
      </c>
      <c r="B421" s="19" t="s">
        <v>257</v>
      </c>
      <c r="C421" s="20" t="s">
        <v>587</v>
      </c>
      <c r="D421" s="218" t="s">
        <v>1212</v>
      </c>
      <c r="E421" s="203" t="s">
        <v>2223</v>
      </c>
      <c r="F421" s="108">
        <f t="shared" si="70"/>
        <v>195.26083</v>
      </c>
      <c r="G421" s="106">
        <f t="shared" si="71"/>
        <v>86.9519</v>
      </c>
      <c r="H421" s="106">
        <f t="shared" si="72"/>
        <v>108.30893</v>
      </c>
      <c r="I421" s="107"/>
      <c r="J421" s="107"/>
      <c r="K421" s="107"/>
      <c r="L421" s="107"/>
      <c r="M421" s="107"/>
      <c r="N421" s="107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7"/>
      <c r="Z421" s="107"/>
      <c r="AA421" s="106">
        <v>30.54402</v>
      </c>
      <c r="AB421" s="106">
        <v>27.73023</v>
      </c>
      <c r="AC421" s="107"/>
      <c r="AD421" s="107"/>
      <c r="AE421" s="107"/>
      <c r="AF421" s="107"/>
      <c r="AG421" s="107"/>
      <c r="AH421" s="107"/>
      <c r="AI421" s="107"/>
      <c r="AJ421" s="108">
        <v>25.26168</v>
      </c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7"/>
      <c r="AV421" s="107"/>
      <c r="AW421" s="107"/>
      <c r="AX421" s="107"/>
      <c r="AY421" s="106"/>
      <c r="AZ421" s="107"/>
      <c r="BA421" s="107"/>
      <c r="BB421" s="107"/>
      <c r="BC421" s="107">
        <v>56.40788</v>
      </c>
      <c r="BD421" s="107">
        <v>55.31702</v>
      </c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9"/>
      <c r="BR421" s="109"/>
      <c r="BS421" s="109"/>
      <c r="BT421" s="109"/>
      <c r="BU421" s="138"/>
    </row>
    <row r="422" spans="1:73" ht="46.5" customHeight="1" outlineLevel="2">
      <c r="A422" s="38" t="s">
        <v>456</v>
      </c>
      <c r="B422" s="42" t="s">
        <v>1035</v>
      </c>
      <c r="C422" s="27" t="s">
        <v>587</v>
      </c>
      <c r="D422" s="219" t="s">
        <v>1036</v>
      </c>
      <c r="E422" s="203" t="s">
        <v>2221</v>
      </c>
      <c r="F422" s="108">
        <f t="shared" si="70"/>
        <v>348.2005700000001</v>
      </c>
      <c r="G422" s="106">
        <f t="shared" si="71"/>
        <v>75.84513000000001</v>
      </c>
      <c r="H422" s="106">
        <f t="shared" si="72"/>
        <v>272.35544000000004</v>
      </c>
      <c r="I422" s="113"/>
      <c r="J422" s="113"/>
      <c r="K422" s="113"/>
      <c r="L422" s="113"/>
      <c r="M422" s="113">
        <v>13.87125</v>
      </c>
      <c r="N422" s="113"/>
      <c r="O422" s="114">
        <v>17.40879</v>
      </c>
      <c r="P422" s="114">
        <v>0.67415</v>
      </c>
      <c r="Q422" s="114"/>
      <c r="R422" s="114"/>
      <c r="S422" s="114"/>
      <c r="T422" s="114"/>
      <c r="U422" s="114"/>
      <c r="V422" s="114"/>
      <c r="W422" s="114"/>
      <c r="X422" s="114"/>
      <c r="Y422" s="113">
        <v>1.94939</v>
      </c>
      <c r="Z422" s="113">
        <v>6.474</v>
      </c>
      <c r="AA422" s="162">
        <v>16.96713</v>
      </c>
      <c r="AB422" s="114">
        <v>9.90365</v>
      </c>
      <c r="AC422" s="113"/>
      <c r="AD422" s="113"/>
      <c r="AE422" s="113"/>
      <c r="AF422" s="113"/>
      <c r="AG422" s="113"/>
      <c r="AH422" s="113"/>
      <c r="AI422" s="113"/>
      <c r="AJ422" s="108">
        <v>16.48264</v>
      </c>
      <c r="AK422" s="113"/>
      <c r="AL422" s="113"/>
      <c r="AM422" s="113"/>
      <c r="AN422" s="113"/>
      <c r="AO422" s="113"/>
      <c r="AP422" s="113"/>
      <c r="AQ422" s="113"/>
      <c r="AR422" s="113"/>
      <c r="AS422" s="113"/>
      <c r="AT422" s="113"/>
      <c r="AU422" s="113"/>
      <c r="AV422" s="113"/>
      <c r="AW422" s="113"/>
      <c r="AX422" s="113"/>
      <c r="AY422" s="114"/>
      <c r="AZ422" s="113">
        <v>22.77</v>
      </c>
      <c r="BA422" s="113"/>
      <c r="BB422" s="113"/>
      <c r="BC422" s="113">
        <v>39.51982</v>
      </c>
      <c r="BD422" s="113">
        <v>38.75441</v>
      </c>
      <c r="BE422" s="113"/>
      <c r="BF422" s="113"/>
      <c r="BG422" s="113"/>
      <c r="BH422" s="113"/>
      <c r="BI422" s="113"/>
      <c r="BJ422" s="113">
        <v>163.42534</v>
      </c>
      <c r="BK422" s="113"/>
      <c r="BL422" s="113"/>
      <c r="BM422" s="113"/>
      <c r="BN422" s="113"/>
      <c r="BO422" s="113"/>
      <c r="BP422" s="113"/>
      <c r="BQ422" s="115"/>
      <c r="BR422" s="115"/>
      <c r="BS422" s="115"/>
      <c r="BT422" s="115"/>
      <c r="BU422" s="139"/>
    </row>
    <row r="423" spans="1:73" ht="43.5" customHeight="1" outlineLevel="2">
      <c r="A423" s="35" t="s">
        <v>456</v>
      </c>
      <c r="B423" s="19" t="s">
        <v>1275</v>
      </c>
      <c r="C423" s="20" t="s">
        <v>934</v>
      </c>
      <c r="D423" s="218" t="s">
        <v>1587</v>
      </c>
      <c r="E423" s="203" t="s">
        <v>2798</v>
      </c>
      <c r="F423" s="108">
        <f t="shared" si="70"/>
        <v>403.58537</v>
      </c>
      <c r="G423" s="106">
        <f t="shared" si="71"/>
        <v>0</v>
      </c>
      <c r="H423" s="106">
        <f t="shared" si="72"/>
        <v>403.58537</v>
      </c>
      <c r="I423" s="107"/>
      <c r="J423" s="107"/>
      <c r="K423" s="107"/>
      <c r="L423" s="107"/>
      <c r="M423" s="107"/>
      <c r="N423" s="107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7"/>
      <c r="Z423" s="107"/>
      <c r="AA423" s="106"/>
      <c r="AB423" s="106"/>
      <c r="AC423" s="107"/>
      <c r="AD423" s="107"/>
      <c r="AE423" s="107"/>
      <c r="AF423" s="107"/>
      <c r="AG423" s="107"/>
      <c r="AH423" s="107"/>
      <c r="AI423" s="107"/>
      <c r="AJ423" s="108">
        <v>0</v>
      </c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7"/>
      <c r="AV423" s="107"/>
      <c r="AW423" s="107"/>
      <c r="AX423" s="107"/>
      <c r="AY423" s="106"/>
      <c r="AZ423" s="107"/>
      <c r="BA423" s="107"/>
      <c r="BB423" s="107"/>
      <c r="BC423" s="107"/>
      <c r="BD423" s="107"/>
      <c r="BE423" s="107"/>
      <c r="BF423" s="107"/>
      <c r="BG423" s="107"/>
      <c r="BH423" s="107"/>
      <c r="BI423" s="107"/>
      <c r="BJ423" s="107"/>
      <c r="BK423" s="107"/>
      <c r="BL423" s="107"/>
      <c r="BM423" s="107"/>
      <c r="BN423" s="107">
        <v>403.58537</v>
      </c>
      <c r="BO423" s="107"/>
      <c r="BP423" s="107"/>
      <c r="BQ423" s="109"/>
      <c r="BR423" s="109"/>
      <c r="BS423" s="109"/>
      <c r="BT423" s="109"/>
      <c r="BU423" s="138"/>
    </row>
    <row r="424" spans="1:73" ht="37.5" customHeight="1" outlineLevel="2">
      <c r="A424" s="35" t="s">
        <v>456</v>
      </c>
      <c r="B424" s="19" t="s">
        <v>1545</v>
      </c>
      <c r="C424" s="20" t="s">
        <v>934</v>
      </c>
      <c r="D424" s="218" t="s">
        <v>1588</v>
      </c>
      <c r="E424" s="203" t="s">
        <v>2225</v>
      </c>
      <c r="F424" s="108">
        <f t="shared" si="70"/>
        <v>306.2421</v>
      </c>
      <c r="G424" s="106">
        <f t="shared" si="71"/>
        <v>0</v>
      </c>
      <c r="H424" s="106">
        <f t="shared" si="72"/>
        <v>306.2421</v>
      </c>
      <c r="I424" s="107"/>
      <c r="J424" s="107"/>
      <c r="K424" s="107"/>
      <c r="L424" s="107"/>
      <c r="M424" s="107"/>
      <c r="N424" s="107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7"/>
      <c r="Z424" s="107"/>
      <c r="AA424" s="106"/>
      <c r="AB424" s="106"/>
      <c r="AC424" s="107"/>
      <c r="AD424" s="107"/>
      <c r="AE424" s="107"/>
      <c r="AF424" s="107"/>
      <c r="AG424" s="107"/>
      <c r="AH424" s="107"/>
      <c r="AI424" s="107"/>
      <c r="AJ424" s="108">
        <v>0</v>
      </c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7"/>
      <c r="AV424" s="107"/>
      <c r="AW424" s="107"/>
      <c r="AX424" s="107"/>
      <c r="AY424" s="106"/>
      <c r="AZ424" s="107"/>
      <c r="BA424" s="107"/>
      <c r="BB424" s="107"/>
      <c r="BC424" s="107"/>
      <c r="BD424" s="107"/>
      <c r="BE424" s="107"/>
      <c r="BF424" s="107"/>
      <c r="BG424" s="107"/>
      <c r="BH424" s="107"/>
      <c r="BI424" s="107"/>
      <c r="BJ424" s="107">
        <v>36.7707</v>
      </c>
      <c r="BK424" s="107"/>
      <c r="BL424" s="107"/>
      <c r="BM424" s="107"/>
      <c r="BN424" s="107">
        <v>269.4714</v>
      </c>
      <c r="BO424" s="107"/>
      <c r="BP424" s="107"/>
      <c r="BQ424" s="109"/>
      <c r="BR424" s="109"/>
      <c r="BS424" s="109"/>
      <c r="BT424" s="109"/>
      <c r="BU424" s="138"/>
    </row>
    <row r="425" spans="1:73" ht="30.75" customHeight="1" outlineLevel="2" thickBot="1">
      <c r="A425" s="35" t="s">
        <v>456</v>
      </c>
      <c r="B425" s="19" t="s">
        <v>243</v>
      </c>
      <c r="C425" s="20" t="s">
        <v>934</v>
      </c>
      <c r="D425" s="218" t="s">
        <v>931</v>
      </c>
      <c r="E425" s="203" t="s">
        <v>2224</v>
      </c>
      <c r="F425" s="108">
        <f t="shared" si="70"/>
        <v>175.9528</v>
      </c>
      <c r="G425" s="106">
        <f t="shared" si="71"/>
        <v>0</v>
      </c>
      <c r="H425" s="106">
        <f t="shared" si="72"/>
        <v>175.9528</v>
      </c>
      <c r="I425" s="107"/>
      <c r="J425" s="107"/>
      <c r="K425" s="107"/>
      <c r="L425" s="107"/>
      <c r="M425" s="107"/>
      <c r="N425" s="107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7"/>
      <c r="Z425" s="107"/>
      <c r="AA425" s="106"/>
      <c r="AB425" s="106"/>
      <c r="AC425" s="107"/>
      <c r="AD425" s="107"/>
      <c r="AE425" s="107"/>
      <c r="AF425" s="107"/>
      <c r="AG425" s="107"/>
      <c r="AH425" s="107"/>
      <c r="AI425" s="107"/>
      <c r="AJ425" s="108">
        <v>0</v>
      </c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7"/>
      <c r="AV425" s="107"/>
      <c r="AW425" s="107"/>
      <c r="AX425" s="107"/>
      <c r="AY425" s="106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>
        <v>98.0552</v>
      </c>
      <c r="BK425" s="107"/>
      <c r="BL425" s="107"/>
      <c r="BM425" s="107"/>
      <c r="BN425" s="107">
        <v>77.8976</v>
      </c>
      <c r="BO425" s="107"/>
      <c r="BP425" s="107"/>
      <c r="BQ425" s="109"/>
      <c r="BR425" s="109"/>
      <c r="BS425" s="109"/>
      <c r="BT425" s="109"/>
      <c r="BU425" s="138"/>
    </row>
    <row r="426" spans="1:73" s="32" customFormat="1" ht="21" outlineLevel="1" thickBot="1">
      <c r="A426" s="40" t="s">
        <v>1229</v>
      </c>
      <c r="B426" s="44"/>
      <c r="C426" s="30" t="s">
        <v>1572</v>
      </c>
      <c r="D426" s="222"/>
      <c r="E426" s="223"/>
      <c r="F426" s="116">
        <f aca="true" t="shared" si="73" ref="F426:AV426">SUBTOTAL(9,F382:F425)</f>
        <v>43199.86456</v>
      </c>
      <c r="G426" s="116">
        <f t="shared" si="73"/>
        <v>18110.364450000005</v>
      </c>
      <c r="H426" s="116">
        <f t="shared" si="73"/>
        <v>25089.500109999994</v>
      </c>
      <c r="I426" s="116">
        <f t="shared" si="73"/>
        <v>2033.88989</v>
      </c>
      <c r="J426" s="116">
        <f t="shared" si="73"/>
        <v>1131.87553</v>
      </c>
      <c r="K426" s="116">
        <f t="shared" si="73"/>
        <v>1199.99408</v>
      </c>
      <c r="L426" s="116">
        <f t="shared" si="73"/>
        <v>275.1663</v>
      </c>
      <c r="M426" s="116">
        <f t="shared" si="73"/>
        <v>392.17606</v>
      </c>
      <c r="N426" s="116">
        <f t="shared" si="73"/>
        <v>0</v>
      </c>
      <c r="O426" s="116">
        <f t="shared" si="73"/>
        <v>148.98617000000002</v>
      </c>
      <c r="P426" s="116">
        <f t="shared" si="73"/>
        <v>7.20385</v>
      </c>
      <c r="Q426" s="116">
        <f t="shared" si="73"/>
        <v>70.19314</v>
      </c>
      <c r="R426" s="116">
        <f t="shared" si="73"/>
        <v>0</v>
      </c>
      <c r="S426" s="116">
        <f t="shared" si="73"/>
        <v>0</v>
      </c>
      <c r="T426" s="116">
        <f t="shared" si="73"/>
        <v>0</v>
      </c>
      <c r="U426" s="116">
        <f t="shared" si="73"/>
        <v>0</v>
      </c>
      <c r="V426" s="116">
        <f t="shared" si="73"/>
        <v>0</v>
      </c>
      <c r="W426" s="116">
        <f t="shared" si="73"/>
        <v>430.58371</v>
      </c>
      <c r="X426" s="116">
        <f t="shared" si="73"/>
        <v>224.79485</v>
      </c>
      <c r="Y426" s="116">
        <f t="shared" si="73"/>
        <v>81.65887</v>
      </c>
      <c r="Z426" s="116">
        <f t="shared" si="73"/>
        <v>191.60944999999995</v>
      </c>
      <c r="AA426" s="116">
        <f t="shared" si="73"/>
        <v>3197.0318099999995</v>
      </c>
      <c r="AB426" s="116">
        <f t="shared" si="73"/>
        <v>2230.6991300000004</v>
      </c>
      <c r="AC426" s="116">
        <f t="shared" si="73"/>
        <v>0</v>
      </c>
      <c r="AD426" s="116">
        <f t="shared" si="73"/>
        <v>0</v>
      </c>
      <c r="AE426" s="116">
        <f t="shared" si="73"/>
        <v>0</v>
      </c>
      <c r="AF426" s="116">
        <f t="shared" si="73"/>
        <v>0</v>
      </c>
      <c r="AG426" s="116">
        <f t="shared" si="73"/>
        <v>0</v>
      </c>
      <c r="AH426" s="116">
        <f t="shared" si="73"/>
        <v>0</v>
      </c>
      <c r="AI426" s="116">
        <f t="shared" si="73"/>
        <v>0</v>
      </c>
      <c r="AJ426" s="116">
        <f>SUBTOTAL(9,AJ382:AJ425)</f>
        <v>1640.0314799999996</v>
      </c>
      <c r="AK426" s="116">
        <f t="shared" si="73"/>
        <v>67.4471</v>
      </c>
      <c r="AL426" s="116">
        <f t="shared" si="73"/>
        <v>0</v>
      </c>
      <c r="AM426" s="116">
        <f t="shared" si="73"/>
        <v>0</v>
      </c>
      <c r="AN426" s="116">
        <f t="shared" si="73"/>
        <v>21.9189</v>
      </c>
      <c r="AO426" s="116">
        <f t="shared" si="73"/>
        <v>2631.921</v>
      </c>
      <c r="AP426" s="116">
        <f t="shared" si="73"/>
        <v>577.2</v>
      </c>
      <c r="AQ426" s="116">
        <f t="shared" si="73"/>
        <v>0</v>
      </c>
      <c r="AR426" s="116">
        <f t="shared" si="73"/>
        <v>0</v>
      </c>
      <c r="AS426" s="116">
        <f t="shared" si="73"/>
        <v>0</v>
      </c>
      <c r="AT426" s="116">
        <f t="shared" si="73"/>
        <v>0</v>
      </c>
      <c r="AU426" s="116">
        <f t="shared" si="73"/>
        <v>0</v>
      </c>
      <c r="AV426" s="116">
        <f t="shared" si="73"/>
        <v>2254.72</v>
      </c>
      <c r="AW426" s="116">
        <f aca="true" t="shared" si="74" ref="AW426:BU426">SUBTOTAL(9,AW382:AW425)</f>
        <v>0</v>
      </c>
      <c r="AX426" s="116">
        <f t="shared" si="74"/>
        <v>2591.71993</v>
      </c>
      <c r="AY426" s="116">
        <f t="shared" si="74"/>
        <v>870.68603</v>
      </c>
      <c r="AZ426" s="116">
        <f t="shared" si="74"/>
        <v>348.921</v>
      </c>
      <c r="BA426" s="116">
        <f t="shared" si="74"/>
        <v>420.55343000000005</v>
      </c>
      <c r="BB426" s="116">
        <f t="shared" si="74"/>
        <v>0</v>
      </c>
      <c r="BC426" s="116">
        <f t="shared" si="74"/>
        <v>5794.578989999998</v>
      </c>
      <c r="BD426" s="116">
        <f t="shared" si="74"/>
        <v>5682.550389999999</v>
      </c>
      <c r="BE426" s="116">
        <f t="shared" si="74"/>
        <v>0</v>
      </c>
      <c r="BF426" s="116">
        <f t="shared" si="74"/>
        <v>0</v>
      </c>
      <c r="BG426" s="116">
        <f t="shared" si="74"/>
        <v>0</v>
      </c>
      <c r="BH426" s="116">
        <f t="shared" si="74"/>
        <v>0</v>
      </c>
      <c r="BI426" s="116">
        <f t="shared" si="74"/>
        <v>0</v>
      </c>
      <c r="BJ426" s="116">
        <f t="shared" si="74"/>
        <v>4476.68629</v>
      </c>
      <c r="BK426" s="116"/>
      <c r="BL426" s="116">
        <f t="shared" si="74"/>
        <v>0</v>
      </c>
      <c r="BM426" s="116">
        <f t="shared" si="74"/>
        <v>696.27981</v>
      </c>
      <c r="BN426" s="116">
        <f t="shared" si="74"/>
        <v>750.95437</v>
      </c>
      <c r="BO426" s="116">
        <f t="shared" si="74"/>
        <v>0</v>
      </c>
      <c r="BP426" s="116">
        <f t="shared" si="74"/>
        <v>0</v>
      </c>
      <c r="BQ426" s="116">
        <f t="shared" si="74"/>
        <v>0</v>
      </c>
      <c r="BR426" s="116">
        <f t="shared" si="74"/>
        <v>0</v>
      </c>
      <c r="BS426" s="116">
        <f t="shared" si="74"/>
        <v>2757.833</v>
      </c>
      <c r="BT426" s="116">
        <f t="shared" si="74"/>
        <v>0</v>
      </c>
      <c r="BU426" s="116">
        <f t="shared" si="74"/>
        <v>0</v>
      </c>
    </row>
    <row r="427" spans="1:73" ht="31.5" customHeight="1" outlineLevel="2">
      <c r="A427" s="19" t="s">
        <v>1230</v>
      </c>
      <c r="B427" s="19" t="s">
        <v>1064</v>
      </c>
      <c r="C427" s="20" t="s">
        <v>1496</v>
      </c>
      <c r="D427" s="218" t="s">
        <v>498</v>
      </c>
      <c r="E427" s="203" t="s">
        <v>2231</v>
      </c>
      <c r="F427" s="108">
        <f t="shared" si="70"/>
        <v>260.59474</v>
      </c>
      <c r="G427" s="106">
        <f>I427+K427+O427+S427+U427+W427+Y427+AA427+AC427+AE427+AR427+AX427+BC427+BG427+BP427+BR427+BT427+AO427</f>
        <v>127.89121</v>
      </c>
      <c r="H427" s="106">
        <f>J427+L427+M427+N427+P427+Q427+R427+T427+V427+X427+Z427+AB427+AD427+AF427+AG427+AJ427+AL427+AS427+AT427+AU427+AV427+AW427+AY427+AZ427+BA427+BB427+BD427+BE427+BF427+BH427+BI427+BJ427+BL427+BM427+BN427+BO427+BQ427+BS427+BU427+AH427+AI427+AK427+AM427+AN427+AP427+AQ427+BK427</f>
        <v>132.70353</v>
      </c>
      <c r="I427" s="107"/>
      <c r="J427" s="107"/>
      <c r="K427" s="107"/>
      <c r="L427" s="107"/>
      <c r="M427" s="107"/>
      <c r="N427" s="107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7"/>
      <c r="Z427" s="107"/>
      <c r="AA427" s="159">
        <v>49.77026</v>
      </c>
      <c r="AB427" s="106">
        <v>39.61462</v>
      </c>
      <c r="AC427" s="107"/>
      <c r="AD427" s="107"/>
      <c r="AE427" s="107"/>
      <c r="AF427" s="107"/>
      <c r="AG427" s="107"/>
      <c r="AH427" s="107"/>
      <c r="AI427" s="107"/>
      <c r="AJ427" s="108">
        <v>16.48264</v>
      </c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7"/>
      <c r="AV427" s="107"/>
      <c r="AW427" s="107"/>
      <c r="AX427" s="107"/>
      <c r="AY427" s="106"/>
      <c r="AZ427" s="107"/>
      <c r="BA427" s="107"/>
      <c r="BB427" s="107"/>
      <c r="BC427" s="107">
        <v>78.12095</v>
      </c>
      <c r="BD427" s="107">
        <v>76.60627</v>
      </c>
      <c r="BE427" s="107"/>
      <c r="BF427" s="107"/>
      <c r="BG427" s="107"/>
      <c r="BH427" s="107"/>
      <c r="BI427" s="107"/>
      <c r="BJ427" s="107"/>
      <c r="BK427" s="107"/>
      <c r="BL427" s="107"/>
      <c r="BM427" s="107"/>
      <c r="BN427" s="107"/>
      <c r="BO427" s="107"/>
      <c r="BP427" s="107"/>
      <c r="BQ427" s="109"/>
      <c r="BR427" s="109"/>
      <c r="BS427" s="109"/>
      <c r="BT427" s="109"/>
      <c r="BU427" s="138"/>
    </row>
    <row r="428" spans="1:73" ht="39" customHeight="1" outlineLevel="2">
      <c r="A428" s="35" t="s">
        <v>1230</v>
      </c>
      <c r="B428" s="19" t="s">
        <v>1477</v>
      </c>
      <c r="C428" s="20" t="s">
        <v>1496</v>
      </c>
      <c r="D428" s="218" t="s">
        <v>1181</v>
      </c>
      <c r="E428" s="203" t="s">
        <v>2232</v>
      </c>
      <c r="F428" s="108">
        <f t="shared" si="70"/>
        <v>2709.22723</v>
      </c>
      <c r="G428" s="106">
        <f aca="true" t="shared" si="75" ref="G428:G434">I428+K428+O428+S428+U428+W428+Y428+AA428+AC428+AE428+AR428+AX428+BC428+BG428+BP428+BR428+BT428+AO428</f>
        <v>1478.63139</v>
      </c>
      <c r="H428" s="106">
        <f aca="true" t="shared" si="76" ref="H428:H434">J428+L428+M428+N428+P428+Q428+R428+T428+V428+X428+Z428+AB428+AD428+AF428+AG428+AJ428+AL428+AS428+AT428+AU428+AV428+AW428+AY428+AZ428+BA428+BB428+BD428+BE428+BF428+BH428+BI428+BJ428+BL428+BM428+BN428+BO428+BQ428+BS428+BU428+AH428+AI428+AK428+AM428+AN428+AP428+AQ428+BK428</f>
        <v>1230.59584</v>
      </c>
      <c r="I428" s="107"/>
      <c r="J428" s="107"/>
      <c r="K428" s="107"/>
      <c r="L428" s="107"/>
      <c r="M428" s="107"/>
      <c r="N428" s="107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7"/>
      <c r="Z428" s="107">
        <v>39.93</v>
      </c>
      <c r="AA428" s="159">
        <v>384.1994</v>
      </c>
      <c r="AB428" s="106">
        <v>229.76478</v>
      </c>
      <c r="AC428" s="107"/>
      <c r="AD428" s="107"/>
      <c r="AE428" s="107"/>
      <c r="AF428" s="107"/>
      <c r="AG428" s="107"/>
      <c r="AH428" s="107"/>
      <c r="AI428" s="107"/>
      <c r="AJ428" s="108">
        <v>52.67424</v>
      </c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7"/>
      <c r="AV428" s="107"/>
      <c r="AW428" s="107"/>
      <c r="AX428" s="107">
        <v>426.82342</v>
      </c>
      <c r="AY428" s="106">
        <v>96.22259</v>
      </c>
      <c r="AZ428" s="107"/>
      <c r="BA428" s="107"/>
      <c r="BB428" s="107"/>
      <c r="BC428" s="107">
        <v>667.60857</v>
      </c>
      <c r="BD428" s="107">
        <v>654.70734</v>
      </c>
      <c r="BE428" s="107"/>
      <c r="BF428" s="107"/>
      <c r="BG428" s="107"/>
      <c r="BH428" s="107"/>
      <c r="BI428" s="107"/>
      <c r="BJ428" s="107">
        <v>157.29689</v>
      </c>
      <c r="BK428" s="107"/>
      <c r="BL428" s="107"/>
      <c r="BM428" s="107"/>
      <c r="BN428" s="107"/>
      <c r="BO428" s="107"/>
      <c r="BP428" s="107"/>
      <c r="BQ428" s="109"/>
      <c r="BR428" s="109"/>
      <c r="BS428" s="109"/>
      <c r="BT428" s="109"/>
      <c r="BU428" s="138"/>
    </row>
    <row r="429" spans="1:73" ht="38.25" customHeight="1" outlineLevel="2">
      <c r="A429" s="19" t="s">
        <v>1230</v>
      </c>
      <c r="B429" s="19" t="s">
        <v>865</v>
      </c>
      <c r="C429" s="20" t="s">
        <v>587</v>
      </c>
      <c r="D429" s="218" t="s">
        <v>496</v>
      </c>
      <c r="E429" s="220" t="s">
        <v>2233</v>
      </c>
      <c r="F429" s="108">
        <f t="shared" si="70"/>
        <v>114.26984</v>
      </c>
      <c r="G429" s="106">
        <f t="shared" si="75"/>
        <v>58.827439999999996</v>
      </c>
      <c r="H429" s="106">
        <f t="shared" si="76"/>
        <v>55.442400000000006</v>
      </c>
      <c r="I429" s="107"/>
      <c r="J429" s="107"/>
      <c r="K429" s="107"/>
      <c r="L429" s="107"/>
      <c r="M429" s="107"/>
      <c r="N429" s="107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7"/>
      <c r="Z429" s="107"/>
      <c r="AA429" s="159">
        <v>14.40718</v>
      </c>
      <c r="AB429" s="106">
        <v>11.88439</v>
      </c>
      <c r="AC429" s="107"/>
      <c r="AD429" s="107"/>
      <c r="AE429" s="107"/>
      <c r="AF429" s="107"/>
      <c r="AG429" s="107"/>
      <c r="AH429" s="107"/>
      <c r="AI429" s="107"/>
      <c r="AJ429" s="108">
        <v>0</v>
      </c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7"/>
      <c r="AV429" s="107"/>
      <c r="AW429" s="107"/>
      <c r="AX429" s="107"/>
      <c r="AY429" s="106"/>
      <c r="AZ429" s="107"/>
      <c r="BA429" s="107"/>
      <c r="BB429" s="107"/>
      <c r="BC429" s="107">
        <v>44.42026</v>
      </c>
      <c r="BD429" s="107">
        <v>43.55801</v>
      </c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9"/>
      <c r="BR429" s="109"/>
      <c r="BS429" s="109"/>
      <c r="BT429" s="109"/>
      <c r="BU429" s="138"/>
    </row>
    <row r="430" spans="1:73" ht="35.25" customHeight="1" outlineLevel="2">
      <c r="A430" s="19" t="s">
        <v>1230</v>
      </c>
      <c r="B430" s="19" t="s">
        <v>1316</v>
      </c>
      <c r="C430" s="20" t="s">
        <v>587</v>
      </c>
      <c r="D430" s="218" t="s">
        <v>1671</v>
      </c>
      <c r="E430" s="203" t="s">
        <v>2234</v>
      </c>
      <c r="F430" s="108">
        <f t="shared" si="70"/>
        <v>83.99947</v>
      </c>
      <c r="G430" s="106">
        <f t="shared" si="75"/>
        <v>29.46042</v>
      </c>
      <c r="H430" s="106">
        <f t="shared" si="76"/>
        <v>54.53905</v>
      </c>
      <c r="I430" s="107"/>
      <c r="J430" s="107"/>
      <c r="K430" s="107"/>
      <c r="L430" s="107"/>
      <c r="M430" s="107"/>
      <c r="N430" s="107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7"/>
      <c r="Z430" s="107"/>
      <c r="AA430" s="159"/>
      <c r="AB430" s="106"/>
      <c r="AC430" s="107"/>
      <c r="AD430" s="107"/>
      <c r="AE430" s="107"/>
      <c r="AF430" s="107"/>
      <c r="AG430" s="107"/>
      <c r="AH430" s="107"/>
      <c r="AI430" s="107"/>
      <c r="AJ430" s="108">
        <v>0</v>
      </c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7"/>
      <c r="AV430" s="107"/>
      <c r="AW430" s="107"/>
      <c r="AX430" s="107"/>
      <c r="AY430" s="106"/>
      <c r="AZ430" s="107">
        <v>25.65</v>
      </c>
      <c r="BA430" s="107"/>
      <c r="BB430" s="107"/>
      <c r="BC430" s="107">
        <v>29.46042</v>
      </c>
      <c r="BD430" s="107">
        <v>28.88905</v>
      </c>
      <c r="BE430" s="107"/>
      <c r="BF430" s="107"/>
      <c r="BG430" s="107"/>
      <c r="BH430" s="107"/>
      <c r="BI430" s="107"/>
      <c r="BJ430" s="107"/>
      <c r="BK430" s="107"/>
      <c r="BL430" s="107"/>
      <c r="BM430" s="107"/>
      <c r="BN430" s="107"/>
      <c r="BO430" s="107"/>
      <c r="BP430" s="107"/>
      <c r="BQ430" s="109"/>
      <c r="BR430" s="109"/>
      <c r="BS430" s="109"/>
      <c r="BT430" s="109"/>
      <c r="BU430" s="138"/>
    </row>
    <row r="431" spans="1:73" ht="38.25" customHeight="1" outlineLevel="2">
      <c r="A431" s="2" t="s">
        <v>1230</v>
      </c>
      <c r="B431" s="3" t="s">
        <v>1478</v>
      </c>
      <c r="C431" s="4" t="s">
        <v>710</v>
      </c>
      <c r="D431" s="230" t="s">
        <v>1231</v>
      </c>
      <c r="E431" s="233" t="s">
        <v>2235</v>
      </c>
      <c r="F431" s="108">
        <f t="shared" si="70"/>
        <v>970.1026200000001</v>
      </c>
      <c r="G431" s="106">
        <f t="shared" si="75"/>
        <v>388.18802000000005</v>
      </c>
      <c r="H431" s="106">
        <f t="shared" si="76"/>
        <v>581.9146000000001</v>
      </c>
      <c r="I431" s="119"/>
      <c r="J431" s="119"/>
      <c r="K431" s="119"/>
      <c r="L431" s="119"/>
      <c r="M431" s="119"/>
      <c r="N431" s="119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19"/>
      <c r="Z431" s="119">
        <v>39.93</v>
      </c>
      <c r="AA431" s="163">
        <v>65.48718</v>
      </c>
      <c r="AB431" s="120">
        <v>49.51827</v>
      </c>
      <c r="AC431" s="119"/>
      <c r="AD431" s="119"/>
      <c r="AE431" s="119"/>
      <c r="AF431" s="119"/>
      <c r="AG431" s="119"/>
      <c r="AH431" s="119"/>
      <c r="AI431" s="119"/>
      <c r="AJ431" s="108">
        <v>61.991</v>
      </c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20">
        <v>43.83327</v>
      </c>
      <c r="AZ431" s="119">
        <v>70.2</v>
      </c>
      <c r="BA431" s="119"/>
      <c r="BB431" s="119"/>
      <c r="BC431" s="119">
        <v>322.70084</v>
      </c>
      <c r="BD431" s="119">
        <v>316.44206</v>
      </c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21"/>
      <c r="BR431" s="121"/>
      <c r="BS431" s="121"/>
      <c r="BT431" s="121"/>
      <c r="BU431" s="140"/>
    </row>
    <row r="432" spans="1:73" ht="38.25" customHeight="1" outlineLevel="2">
      <c r="A432" s="19" t="s">
        <v>1230</v>
      </c>
      <c r="B432" s="19" t="s">
        <v>1411</v>
      </c>
      <c r="C432" s="20" t="s">
        <v>710</v>
      </c>
      <c r="D432" s="218" t="s">
        <v>497</v>
      </c>
      <c r="E432" s="220" t="s">
        <v>2236</v>
      </c>
      <c r="F432" s="108">
        <f t="shared" si="70"/>
        <v>185.79097000000002</v>
      </c>
      <c r="G432" s="106">
        <f t="shared" si="75"/>
        <v>93.17161</v>
      </c>
      <c r="H432" s="106">
        <f t="shared" si="76"/>
        <v>92.61936</v>
      </c>
      <c r="I432" s="107"/>
      <c r="J432" s="107"/>
      <c r="K432" s="107"/>
      <c r="L432" s="107"/>
      <c r="M432" s="107"/>
      <c r="N432" s="107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7"/>
      <c r="Z432" s="107"/>
      <c r="AA432" s="159"/>
      <c r="AB432" s="106"/>
      <c r="AC432" s="107"/>
      <c r="AD432" s="107"/>
      <c r="AE432" s="107"/>
      <c r="AF432" s="107"/>
      <c r="AG432" s="107"/>
      <c r="AH432" s="107"/>
      <c r="AI432" s="107"/>
      <c r="AJ432" s="108">
        <v>0</v>
      </c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7"/>
      <c r="AV432" s="107"/>
      <c r="AW432" s="107"/>
      <c r="AX432" s="107"/>
      <c r="AY432" s="106"/>
      <c r="AZ432" s="107"/>
      <c r="BA432" s="107"/>
      <c r="BB432" s="107"/>
      <c r="BC432" s="107">
        <v>93.17161</v>
      </c>
      <c r="BD432" s="107">
        <v>92.61936</v>
      </c>
      <c r="BE432" s="107"/>
      <c r="BF432" s="107"/>
      <c r="BG432" s="107"/>
      <c r="BH432" s="107"/>
      <c r="BI432" s="107"/>
      <c r="BJ432" s="107"/>
      <c r="BK432" s="107"/>
      <c r="BL432" s="107"/>
      <c r="BM432" s="107"/>
      <c r="BN432" s="107"/>
      <c r="BO432" s="107"/>
      <c r="BP432" s="107"/>
      <c r="BQ432" s="109"/>
      <c r="BR432" s="109"/>
      <c r="BS432" s="109"/>
      <c r="BT432" s="109"/>
      <c r="BU432" s="138"/>
    </row>
    <row r="433" spans="1:73" ht="38.25" customHeight="1" outlineLevel="2">
      <c r="A433" s="19" t="s">
        <v>1230</v>
      </c>
      <c r="B433" s="19" t="s">
        <v>1751</v>
      </c>
      <c r="C433" s="20" t="s">
        <v>587</v>
      </c>
      <c r="D433" s="218" t="s">
        <v>1801</v>
      </c>
      <c r="E433" s="220" t="s">
        <v>2237</v>
      </c>
      <c r="F433" s="108">
        <f t="shared" si="70"/>
        <v>43.819280000000006</v>
      </c>
      <c r="G433" s="106">
        <f t="shared" si="75"/>
        <v>24.01197</v>
      </c>
      <c r="H433" s="106">
        <f t="shared" si="76"/>
        <v>19.80731</v>
      </c>
      <c r="I433" s="107"/>
      <c r="J433" s="107"/>
      <c r="K433" s="107"/>
      <c r="L433" s="107"/>
      <c r="M433" s="107"/>
      <c r="N433" s="107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7"/>
      <c r="Z433" s="107"/>
      <c r="AA433" s="159">
        <v>24.01197</v>
      </c>
      <c r="AB433" s="106">
        <v>19.80731</v>
      </c>
      <c r="AC433" s="107"/>
      <c r="AD433" s="107"/>
      <c r="AE433" s="107"/>
      <c r="AF433" s="107"/>
      <c r="AG433" s="107"/>
      <c r="AH433" s="107"/>
      <c r="AI433" s="107"/>
      <c r="AJ433" s="108">
        <v>0</v>
      </c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7"/>
      <c r="AV433" s="107"/>
      <c r="AW433" s="107"/>
      <c r="AX433" s="107"/>
      <c r="AY433" s="106"/>
      <c r="AZ433" s="107"/>
      <c r="BA433" s="107"/>
      <c r="BB433" s="107"/>
      <c r="BC433" s="107"/>
      <c r="BD433" s="107"/>
      <c r="BE433" s="107"/>
      <c r="BF433" s="107"/>
      <c r="BG433" s="107"/>
      <c r="BH433" s="107"/>
      <c r="BI433" s="107"/>
      <c r="BJ433" s="107"/>
      <c r="BK433" s="107"/>
      <c r="BL433" s="107"/>
      <c r="BM433" s="107"/>
      <c r="BN433" s="107"/>
      <c r="BO433" s="107"/>
      <c r="BP433" s="107"/>
      <c r="BQ433" s="109"/>
      <c r="BR433" s="109"/>
      <c r="BS433" s="109"/>
      <c r="BT433" s="109"/>
      <c r="BU433" s="138"/>
    </row>
    <row r="434" spans="1:73" ht="38.25" customHeight="1" outlineLevel="2" thickBot="1">
      <c r="A434" s="19" t="s">
        <v>1230</v>
      </c>
      <c r="B434" s="19" t="s">
        <v>210</v>
      </c>
      <c r="C434" s="20" t="s">
        <v>710</v>
      </c>
      <c r="D434" s="218" t="s">
        <v>495</v>
      </c>
      <c r="E434" s="220" t="s">
        <v>2238</v>
      </c>
      <c r="F434" s="108">
        <f t="shared" si="70"/>
        <v>175.11084</v>
      </c>
      <c r="G434" s="106">
        <f t="shared" si="75"/>
        <v>82.32505</v>
      </c>
      <c r="H434" s="106">
        <f t="shared" si="76"/>
        <v>92.78579</v>
      </c>
      <c r="I434" s="107"/>
      <c r="J434" s="107"/>
      <c r="K434" s="107"/>
      <c r="L434" s="107"/>
      <c r="M434" s="107"/>
      <c r="N434" s="107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7"/>
      <c r="Z434" s="107"/>
      <c r="AA434" s="159">
        <v>23.61507</v>
      </c>
      <c r="AB434" s="106">
        <v>19.80731</v>
      </c>
      <c r="AC434" s="107"/>
      <c r="AD434" s="107"/>
      <c r="AE434" s="107"/>
      <c r="AF434" s="107"/>
      <c r="AG434" s="107"/>
      <c r="AH434" s="107"/>
      <c r="AI434" s="107"/>
      <c r="AJ434" s="108">
        <v>15.4072</v>
      </c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7"/>
      <c r="AV434" s="107"/>
      <c r="AW434" s="107"/>
      <c r="AX434" s="107"/>
      <c r="AY434" s="106"/>
      <c r="AZ434" s="107"/>
      <c r="BA434" s="107"/>
      <c r="BB434" s="107"/>
      <c r="BC434" s="107">
        <v>58.70998</v>
      </c>
      <c r="BD434" s="107">
        <v>57.57128</v>
      </c>
      <c r="BE434" s="107"/>
      <c r="BF434" s="107"/>
      <c r="BG434" s="107"/>
      <c r="BH434" s="107"/>
      <c r="BI434" s="107"/>
      <c r="BJ434" s="107"/>
      <c r="BK434" s="107"/>
      <c r="BL434" s="107"/>
      <c r="BM434" s="107"/>
      <c r="BN434" s="107"/>
      <c r="BO434" s="107"/>
      <c r="BP434" s="107"/>
      <c r="BQ434" s="109"/>
      <c r="BR434" s="109"/>
      <c r="BS434" s="109"/>
      <c r="BT434" s="109"/>
      <c r="BU434" s="138"/>
    </row>
    <row r="435" spans="1:73" s="32" customFormat="1" ht="21" outlineLevel="1" thickBot="1">
      <c r="A435" s="40" t="s">
        <v>14</v>
      </c>
      <c r="B435" s="44"/>
      <c r="C435" s="30" t="s">
        <v>1572</v>
      </c>
      <c r="D435" s="222"/>
      <c r="E435" s="223"/>
      <c r="F435" s="116">
        <f>SUBTOTAL(9,F427:F434)</f>
        <v>4542.91499</v>
      </c>
      <c r="G435" s="116">
        <f>SUBTOTAL(9,G427:G434)</f>
        <v>2282.50711</v>
      </c>
      <c r="H435" s="116">
        <f>SUBTOTAL(9,H427:H434)</f>
        <v>2260.40788</v>
      </c>
      <c r="I435" s="116">
        <f aca="true" t="shared" si="77" ref="I435:BM435">SUBTOTAL(9,I427:I434)</f>
        <v>0</v>
      </c>
      <c r="J435" s="116">
        <f t="shared" si="77"/>
        <v>0</v>
      </c>
      <c r="K435" s="116">
        <f t="shared" si="77"/>
        <v>0</v>
      </c>
      <c r="L435" s="116">
        <f t="shared" si="77"/>
        <v>0</v>
      </c>
      <c r="M435" s="116">
        <f t="shared" si="77"/>
        <v>0</v>
      </c>
      <c r="N435" s="116">
        <f t="shared" si="77"/>
        <v>0</v>
      </c>
      <c r="O435" s="116">
        <f t="shared" si="77"/>
        <v>0</v>
      </c>
      <c r="P435" s="116">
        <f t="shared" si="77"/>
        <v>0</v>
      </c>
      <c r="Q435" s="116">
        <f t="shared" si="77"/>
        <v>0</v>
      </c>
      <c r="R435" s="116">
        <f t="shared" si="77"/>
        <v>0</v>
      </c>
      <c r="S435" s="116">
        <f t="shared" si="77"/>
        <v>0</v>
      </c>
      <c r="T435" s="116">
        <f t="shared" si="77"/>
        <v>0</v>
      </c>
      <c r="U435" s="116">
        <f t="shared" si="77"/>
        <v>0</v>
      </c>
      <c r="V435" s="116">
        <f t="shared" si="77"/>
        <v>0</v>
      </c>
      <c r="W435" s="116">
        <f t="shared" si="77"/>
        <v>0</v>
      </c>
      <c r="X435" s="116">
        <f t="shared" si="77"/>
        <v>0</v>
      </c>
      <c r="Y435" s="116">
        <f t="shared" si="77"/>
        <v>0</v>
      </c>
      <c r="Z435" s="116">
        <f t="shared" si="77"/>
        <v>79.86</v>
      </c>
      <c r="AA435" s="116">
        <f t="shared" si="77"/>
        <v>561.49106</v>
      </c>
      <c r="AB435" s="116">
        <f t="shared" si="77"/>
        <v>370.39668000000006</v>
      </c>
      <c r="AC435" s="116">
        <f t="shared" si="77"/>
        <v>0</v>
      </c>
      <c r="AD435" s="116">
        <f t="shared" si="77"/>
        <v>0</v>
      </c>
      <c r="AE435" s="116">
        <f t="shared" si="77"/>
        <v>0</v>
      </c>
      <c r="AF435" s="116">
        <f t="shared" si="77"/>
        <v>0</v>
      </c>
      <c r="AG435" s="116">
        <f t="shared" si="77"/>
        <v>0</v>
      </c>
      <c r="AH435" s="116">
        <f t="shared" si="77"/>
        <v>0</v>
      </c>
      <c r="AI435" s="116">
        <f t="shared" si="77"/>
        <v>0</v>
      </c>
      <c r="AJ435" s="116">
        <f>SUBTOTAL(9,AJ427:AJ434)</f>
        <v>146.55507999999998</v>
      </c>
      <c r="AK435" s="116">
        <f t="shared" si="77"/>
        <v>0</v>
      </c>
      <c r="AL435" s="116">
        <f t="shared" si="77"/>
        <v>0</v>
      </c>
      <c r="AM435" s="116">
        <f t="shared" si="77"/>
        <v>0</v>
      </c>
      <c r="AN435" s="116">
        <f t="shared" si="77"/>
        <v>0</v>
      </c>
      <c r="AO435" s="116">
        <f t="shared" si="77"/>
        <v>0</v>
      </c>
      <c r="AP435" s="116">
        <f t="shared" si="77"/>
        <v>0</v>
      </c>
      <c r="AQ435" s="116">
        <f t="shared" si="77"/>
        <v>0</v>
      </c>
      <c r="AR435" s="116">
        <f t="shared" si="77"/>
        <v>0</v>
      </c>
      <c r="AS435" s="116">
        <f t="shared" si="77"/>
        <v>0</v>
      </c>
      <c r="AT435" s="116">
        <f t="shared" si="77"/>
        <v>0</v>
      </c>
      <c r="AU435" s="116">
        <f t="shared" si="77"/>
        <v>0</v>
      </c>
      <c r="AV435" s="116">
        <f t="shared" si="77"/>
        <v>0</v>
      </c>
      <c r="AW435" s="116">
        <f t="shared" si="77"/>
        <v>0</v>
      </c>
      <c r="AX435" s="116">
        <f t="shared" si="77"/>
        <v>426.82342</v>
      </c>
      <c r="AY435" s="116">
        <f t="shared" si="77"/>
        <v>140.05586</v>
      </c>
      <c r="AZ435" s="116">
        <f t="shared" si="77"/>
        <v>95.85</v>
      </c>
      <c r="BA435" s="116">
        <f t="shared" si="77"/>
        <v>0</v>
      </c>
      <c r="BB435" s="116">
        <f t="shared" si="77"/>
        <v>0</v>
      </c>
      <c r="BC435" s="116">
        <f t="shared" si="77"/>
        <v>1294.1926300000002</v>
      </c>
      <c r="BD435" s="116">
        <f t="shared" si="77"/>
        <v>1270.3933699999998</v>
      </c>
      <c r="BE435" s="116">
        <f t="shared" si="77"/>
        <v>0</v>
      </c>
      <c r="BF435" s="116">
        <f t="shared" si="77"/>
        <v>0</v>
      </c>
      <c r="BG435" s="116">
        <f t="shared" si="77"/>
        <v>0</v>
      </c>
      <c r="BH435" s="116">
        <f t="shared" si="77"/>
        <v>0</v>
      </c>
      <c r="BI435" s="116">
        <f t="shared" si="77"/>
        <v>0</v>
      </c>
      <c r="BJ435" s="116">
        <f t="shared" si="77"/>
        <v>157.29689</v>
      </c>
      <c r="BK435" s="116"/>
      <c r="BL435" s="116">
        <f t="shared" si="77"/>
        <v>0</v>
      </c>
      <c r="BM435" s="116">
        <f t="shared" si="77"/>
        <v>0</v>
      </c>
      <c r="BN435" s="116">
        <f aca="true" t="shared" si="78" ref="BN435:BU435">SUBTOTAL(9,BN427:BN434)</f>
        <v>0</v>
      </c>
      <c r="BO435" s="116">
        <f t="shared" si="78"/>
        <v>0</v>
      </c>
      <c r="BP435" s="116">
        <f t="shared" si="78"/>
        <v>0</v>
      </c>
      <c r="BQ435" s="116">
        <f t="shared" si="78"/>
        <v>0</v>
      </c>
      <c r="BR435" s="116">
        <f t="shared" si="78"/>
        <v>0</v>
      </c>
      <c r="BS435" s="116">
        <f t="shared" si="78"/>
        <v>0</v>
      </c>
      <c r="BT435" s="116">
        <f t="shared" si="78"/>
        <v>0</v>
      </c>
      <c r="BU435" s="116">
        <f t="shared" si="78"/>
        <v>0</v>
      </c>
    </row>
    <row r="436" spans="1:73" ht="39" customHeight="1" outlineLevel="2">
      <c r="A436" s="2" t="s">
        <v>1292</v>
      </c>
      <c r="B436" s="3" t="s">
        <v>1182</v>
      </c>
      <c r="C436" s="4" t="s">
        <v>1496</v>
      </c>
      <c r="D436" s="230" t="s">
        <v>1068</v>
      </c>
      <c r="E436" s="233" t="s">
        <v>2239</v>
      </c>
      <c r="F436" s="108">
        <f t="shared" si="70"/>
        <v>25097.935579999998</v>
      </c>
      <c r="G436" s="106">
        <f>I436+K436+O436+S436+U436+W436+Y436+AA436+AC436+AE436+AR436+AX436+BC436+BG436+BP436+BR436+BT436+AO436</f>
        <v>13568.046849999999</v>
      </c>
      <c r="H436" s="106">
        <f>J436+L436+M436+N436+P436+Q436+R436+T436+V436+X436+Z436+AB436+AD436+AF436+AG436+AJ436+AL436+AS436+AT436+AU436+AV436+AW436+AY436+AZ436+BA436+BB436+BD436+BE436+BF436+BH436+BI436+BJ436+BL436+BM436+BN436+BO436+BQ436+BS436+BU436+AH436+AI436+AK436+AM436+AN436+AP436+AQ436+BK436</f>
        <v>11529.88873</v>
      </c>
      <c r="I436" s="119">
        <v>198.00576</v>
      </c>
      <c r="J436" s="119">
        <v>42.05577</v>
      </c>
      <c r="K436" s="164">
        <v>3142.05018</v>
      </c>
      <c r="L436" s="119">
        <v>470.74476</v>
      </c>
      <c r="M436" s="119"/>
      <c r="N436" s="119"/>
      <c r="O436" s="120"/>
      <c r="P436" s="120"/>
      <c r="Q436" s="120"/>
      <c r="R436" s="120"/>
      <c r="S436" s="120"/>
      <c r="T436" s="120"/>
      <c r="U436" s="120"/>
      <c r="V436" s="120"/>
      <c r="W436" s="120">
        <v>748.36607</v>
      </c>
      <c r="X436" s="120">
        <v>390.69947</v>
      </c>
      <c r="Y436" s="119">
        <v>53.2</v>
      </c>
      <c r="Z436" s="119">
        <v>194.205</v>
      </c>
      <c r="AA436" s="163">
        <v>363.17524</v>
      </c>
      <c r="AB436" s="120">
        <v>225.01103</v>
      </c>
      <c r="AC436" s="119"/>
      <c r="AD436" s="119"/>
      <c r="AE436" s="119"/>
      <c r="AF436" s="119"/>
      <c r="AG436" s="119">
        <v>119.5002</v>
      </c>
      <c r="AH436" s="119"/>
      <c r="AI436" s="119"/>
      <c r="AJ436" s="108">
        <v>159.36699</v>
      </c>
      <c r="AK436" s="119">
        <f>51.881+71.4325</f>
        <v>123.3135</v>
      </c>
      <c r="AL436" s="119"/>
      <c r="AM436" s="119"/>
      <c r="AN436" s="119"/>
      <c r="AO436" s="119">
        <v>4234.7846</v>
      </c>
      <c r="AP436" s="119">
        <v>967.2</v>
      </c>
      <c r="AQ436" s="119"/>
      <c r="AR436" s="119"/>
      <c r="AS436" s="119"/>
      <c r="AT436" s="119"/>
      <c r="AU436" s="119"/>
      <c r="AV436" s="119"/>
      <c r="AW436" s="119"/>
      <c r="AX436" s="119">
        <v>2730.66443</v>
      </c>
      <c r="AY436" s="120">
        <v>1729.83033</v>
      </c>
      <c r="AZ436" s="119"/>
      <c r="BA436" s="119">
        <v>96.28325</v>
      </c>
      <c r="BB436" s="119"/>
      <c r="BC436" s="119">
        <v>2097.80057</v>
      </c>
      <c r="BD436" s="119">
        <v>2057.22395</v>
      </c>
      <c r="BE436" s="119">
        <v>87.5804</v>
      </c>
      <c r="BF436" s="119"/>
      <c r="BG436" s="119"/>
      <c r="BH436" s="119"/>
      <c r="BI436" s="119"/>
      <c r="BJ436" s="119">
        <v>4729.60618</v>
      </c>
      <c r="BK436" s="119"/>
      <c r="BL436" s="119"/>
      <c r="BM436" s="119">
        <v>137.2679</v>
      </c>
      <c r="BN436" s="119"/>
      <c r="BO436" s="119"/>
      <c r="BP436" s="119"/>
      <c r="BQ436" s="121"/>
      <c r="BR436" s="121"/>
      <c r="BS436" s="121"/>
      <c r="BT436" s="121"/>
      <c r="BU436" s="140"/>
    </row>
    <row r="437" spans="1:73" ht="44.25" customHeight="1" outlineLevel="2">
      <c r="A437" s="35" t="s">
        <v>1292</v>
      </c>
      <c r="B437" s="37" t="s">
        <v>1183</v>
      </c>
      <c r="C437" s="20" t="s">
        <v>1496</v>
      </c>
      <c r="D437" s="218" t="s">
        <v>1069</v>
      </c>
      <c r="E437" s="203" t="s">
        <v>2240</v>
      </c>
      <c r="F437" s="108">
        <f t="shared" si="70"/>
        <v>38701.31249</v>
      </c>
      <c r="G437" s="106">
        <f aca="true" t="shared" si="79" ref="G437:G472">I437+K437+O437+S437+U437+W437+Y437+AA437+AC437+AE437+AR437+AX437+BC437+BG437+BP437+BR437+BT437+AO437</f>
        <v>21592.34003</v>
      </c>
      <c r="H437" s="106">
        <f aca="true" t="shared" si="80" ref="H437:H472">J437+L437+M437+N437+P437+Q437+R437+T437+V437+X437+Z437+AB437+AD437+AF437+AG437+AJ437+AL437+AS437+AT437+AU437+AV437+AW437+AY437+AZ437+BA437+BB437+BD437+BE437+BF437+BH437+BI437+BJ437+BL437+BM437+BN437+BO437+BQ437+BS437+BU437+AH437+AI437+AK437+AM437+AN437+AP437+AQ437+BK437</f>
        <v>17108.97246</v>
      </c>
      <c r="I437" s="107">
        <v>2.96656</v>
      </c>
      <c r="J437" s="107">
        <v>0.68459</v>
      </c>
      <c r="K437" s="107">
        <v>2161.76133</v>
      </c>
      <c r="L437" s="107">
        <v>491.31698</v>
      </c>
      <c r="M437" s="107">
        <v>252.17617</v>
      </c>
      <c r="N437" s="107"/>
      <c r="O437" s="106"/>
      <c r="P437" s="106"/>
      <c r="Q437" s="106"/>
      <c r="R437" s="106"/>
      <c r="S437" s="106">
        <v>1866.21776</v>
      </c>
      <c r="T437" s="106">
        <v>466.55443</v>
      </c>
      <c r="U437" s="106"/>
      <c r="V437" s="106"/>
      <c r="W437" s="106"/>
      <c r="X437" s="106"/>
      <c r="Y437" s="107">
        <v>207.68</v>
      </c>
      <c r="Z437" s="107">
        <v>434.652</v>
      </c>
      <c r="AA437" s="159">
        <v>1521.67324</v>
      </c>
      <c r="AB437" s="106">
        <v>721.18412</v>
      </c>
      <c r="AC437" s="107"/>
      <c r="AD437" s="107"/>
      <c r="AE437" s="107"/>
      <c r="AF437" s="107"/>
      <c r="AG437" s="107">
        <v>656.3646</v>
      </c>
      <c r="AH437" s="107"/>
      <c r="AI437" s="107"/>
      <c r="AJ437" s="108">
        <v>864.50006</v>
      </c>
      <c r="AK437" s="107">
        <f>102.1545+51.881</f>
        <v>154.0355</v>
      </c>
      <c r="AL437" s="107"/>
      <c r="AM437" s="107"/>
      <c r="AN437" s="107"/>
      <c r="AO437" s="107">
        <v>6468.3608</v>
      </c>
      <c r="AP437" s="107">
        <v>1418.56</v>
      </c>
      <c r="AQ437" s="107"/>
      <c r="AR437" s="107"/>
      <c r="AS437" s="107"/>
      <c r="AT437" s="107"/>
      <c r="AU437" s="107"/>
      <c r="AV437" s="107"/>
      <c r="AW437" s="107"/>
      <c r="AX437" s="107">
        <v>5229.94863</v>
      </c>
      <c r="AY437" s="106">
        <v>2803.67182</v>
      </c>
      <c r="AZ437" s="107"/>
      <c r="BA437" s="107">
        <f>2717.27597+1050.878</f>
        <v>3768.1539700000003</v>
      </c>
      <c r="BB437" s="107"/>
      <c r="BC437" s="107">
        <v>4133.73171</v>
      </c>
      <c r="BD437" s="107">
        <v>4053.84764</v>
      </c>
      <c r="BE437" s="107">
        <v>292.517</v>
      </c>
      <c r="BF437" s="107"/>
      <c r="BG437" s="107"/>
      <c r="BH437" s="107"/>
      <c r="BI437" s="107"/>
      <c r="BJ437" s="107">
        <v>247.98576</v>
      </c>
      <c r="BK437" s="107"/>
      <c r="BL437" s="107"/>
      <c r="BM437" s="107">
        <v>482.76782</v>
      </c>
      <c r="BN437" s="107"/>
      <c r="BO437" s="107"/>
      <c r="BP437" s="107"/>
      <c r="BQ437" s="109"/>
      <c r="BR437" s="109"/>
      <c r="BS437" s="109"/>
      <c r="BT437" s="109"/>
      <c r="BU437" s="138"/>
    </row>
    <row r="438" spans="1:73" ht="39" customHeight="1" outlineLevel="2">
      <c r="A438" s="35" t="s">
        <v>1292</v>
      </c>
      <c r="B438" s="37" t="s">
        <v>1184</v>
      </c>
      <c r="C438" s="20" t="s">
        <v>1496</v>
      </c>
      <c r="D438" s="218" t="s">
        <v>1070</v>
      </c>
      <c r="E438" s="203" t="s">
        <v>2241</v>
      </c>
      <c r="F438" s="108">
        <f t="shared" si="70"/>
        <v>23369.490889999997</v>
      </c>
      <c r="G438" s="106">
        <f t="shared" si="79"/>
        <v>10208.06137</v>
      </c>
      <c r="H438" s="106">
        <f t="shared" si="80"/>
        <v>13161.429519999998</v>
      </c>
      <c r="I438" s="107"/>
      <c r="J438" s="107"/>
      <c r="K438" s="107">
        <v>929.35972</v>
      </c>
      <c r="L438" s="107">
        <v>221.93538</v>
      </c>
      <c r="M438" s="107"/>
      <c r="N438" s="107"/>
      <c r="O438" s="106"/>
      <c r="P438" s="106"/>
      <c r="Q438" s="106"/>
      <c r="R438" s="106"/>
      <c r="S438" s="106"/>
      <c r="T438" s="106"/>
      <c r="U438" s="106"/>
      <c r="V438" s="106"/>
      <c r="W438" s="106">
        <v>1710.57224</v>
      </c>
      <c r="X438" s="106">
        <v>893.03848</v>
      </c>
      <c r="Y438" s="107">
        <v>106.4</v>
      </c>
      <c r="Z438" s="107">
        <v>279.51</v>
      </c>
      <c r="AA438" s="159">
        <v>585.62388</v>
      </c>
      <c r="AB438" s="106">
        <v>219.66306</v>
      </c>
      <c r="AC438" s="107"/>
      <c r="AD438" s="107"/>
      <c r="AE438" s="107"/>
      <c r="AF438" s="107"/>
      <c r="AG438" s="107">
        <v>382.6134</v>
      </c>
      <c r="AH438" s="107"/>
      <c r="AI438" s="107"/>
      <c r="AJ438" s="108">
        <v>904.45782</v>
      </c>
      <c r="AK438" s="107">
        <v>11.8308</v>
      </c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7"/>
      <c r="AV438" s="107"/>
      <c r="AW438" s="107"/>
      <c r="AX438" s="107">
        <v>3270.59898</v>
      </c>
      <c r="AY438" s="106">
        <v>2274.89727</v>
      </c>
      <c r="AZ438" s="107"/>
      <c r="BA438" s="107">
        <f>856.0142+910.77017</f>
        <v>1766.7843699999999</v>
      </c>
      <c r="BB438" s="107"/>
      <c r="BC438" s="107">
        <v>3605.50655</v>
      </c>
      <c r="BD438" s="107">
        <v>3535.82725</v>
      </c>
      <c r="BE438" s="107">
        <v>117.18455</v>
      </c>
      <c r="BF438" s="107"/>
      <c r="BG438" s="107"/>
      <c r="BH438" s="107"/>
      <c r="BI438" s="107"/>
      <c r="BJ438" s="107">
        <v>1654.31167</v>
      </c>
      <c r="BK438" s="107"/>
      <c r="BL438" s="107"/>
      <c r="BM438" s="107">
        <v>899.37547</v>
      </c>
      <c r="BN438" s="107"/>
      <c r="BO438" s="107"/>
      <c r="BP438" s="107"/>
      <c r="BQ438" s="109"/>
      <c r="BR438" s="109"/>
      <c r="BS438" s="109"/>
      <c r="BT438" s="109"/>
      <c r="BU438" s="138"/>
    </row>
    <row r="439" spans="1:73" ht="40.5" customHeight="1" outlineLevel="2">
      <c r="A439" s="35" t="s">
        <v>1292</v>
      </c>
      <c r="B439" s="37" t="s">
        <v>1185</v>
      </c>
      <c r="C439" s="20" t="s">
        <v>1496</v>
      </c>
      <c r="D439" s="218" t="s">
        <v>1045</v>
      </c>
      <c r="E439" s="203" t="s">
        <v>2244</v>
      </c>
      <c r="F439" s="108">
        <f t="shared" si="70"/>
        <v>37023.401079999996</v>
      </c>
      <c r="G439" s="106">
        <f t="shared" si="79"/>
        <v>11735.27894</v>
      </c>
      <c r="H439" s="106">
        <f t="shared" si="80"/>
        <v>25288.12214</v>
      </c>
      <c r="I439" s="107"/>
      <c r="J439" s="107"/>
      <c r="K439" s="107"/>
      <c r="L439" s="107"/>
      <c r="M439" s="107"/>
      <c r="N439" s="107"/>
      <c r="O439" s="106"/>
      <c r="P439" s="106"/>
      <c r="Q439" s="106">
        <v>241.21162</v>
      </c>
      <c r="R439" s="106"/>
      <c r="S439" s="106">
        <f>437.75665+26.54367+161.89958</f>
        <v>626.1999</v>
      </c>
      <c r="T439" s="106">
        <v>156.54996</v>
      </c>
      <c r="U439" s="106"/>
      <c r="V439" s="106"/>
      <c r="W439" s="106"/>
      <c r="X439" s="106"/>
      <c r="Y439" s="107"/>
      <c r="Z439" s="107">
        <v>226.03611</v>
      </c>
      <c r="AA439" s="159">
        <v>1032.31611</v>
      </c>
      <c r="AB439" s="106">
        <v>594.21927</v>
      </c>
      <c r="AC439" s="107"/>
      <c r="AD439" s="107"/>
      <c r="AE439" s="107"/>
      <c r="AF439" s="107"/>
      <c r="AG439" s="107">
        <v>682.605</v>
      </c>
      <c r="AH439" s="107"/>
      <c r="AI439" s="107"/>
      <c r="AJ439" s="108">
        <v>1476.34089</v>
      </c>
      <c r="AK439" s="107">
        <f>104.7339+51.881</f>
        <v>156.6149</v>
      </c>
      <c r="AL439" s="107"/>
      <c r="AM439" s="107"/>
      <c r="AN439" s="107">
        <v>813.625</v>
      </c>
      <c r="AO439" s="107">
        <v>4922.4036</v>
      </c>
      <c r="AP439" s="107">
        <v>1349.92</v>
      </c>
      <c r="AQ439" s="107"/>
      <c r="AR439" s="107"/>
      <c r="AS439" s="107"/>
      <c r="AT439" s="107"/>
      <c r="AU439" s="107"/>
      <c r="AV439" s="107"/>
      <c r="AW439" s="107"/>
      <c r="AX439" s="107">
        <v>1166.4608</v>
      </c>
      <c r="AY439" s="106">
        <v>2687.79103</v>
      </c>
      <c r="AZ439" s="107"/>
      <c r="BA439" s="107">
        <f>888.19846+7870.77312</f>
        <v>8758.97158</v>
      </c>
      <c r="BB439" s="107"/>
      <c r="BC439" s="107">
        <v>3987.89853</v>
      </c>
      <c r="BD439" s="107">
        <v>3910.78543</v>
      </c>
      <c r="BE439" s="107"/>
      <c r="BF439" s="107"/>
      <c r="BG439" s="107"/>
      <c r="BH439" s="107"/>
      <c r="BI439" s="107"/>
      <c r="BJ439" s="107">
        <v>3940.20603</v>
      </c>
      <c r="BK439" s="107"/>
      <c r="BL439" s="107"/>
      <c r="BM439" s="107">
        <v>293.24532</v>
      </c>
      <c r="BN439" s="107"/>
      <c r="BO439" s="107"/>
      <c r="BP439" s="107"/>
      <c r="BQ439" s="109"/>
      <c r="BR439" s="109"/>
      <c r="BS439" s="109"/>
      <c r="BT439" s="109"/>
      <c r="BU439" s="138"/>
    </row>
    <row r="440" spans="1:73" ht="33.75" customHeight="1" outlineLevel="2">
      <c r="A440" s="35" t="s">
        <v>1292</v>
      </c>
      <c r="B440" s="37" t="s">
        <v>231</v>
      </c>
      <c r="C440" s="20" t="s">
        <v>1496</v>
      </c>
      <c r="D440" s="218" t="s">
        <v>919</v>
      </c>
      <c r="E440" s="203" t="s">
        <v>2242</v>
      </c>
      <c r="F440" s="108">
        <f t="shared" si="70"/>
        <v>35856.53474</v>
      </c>
      <c r="G440" s="106">
        <f t="shared" si="79"/>
        <v>14671.198809999998</v>
      </c>
      <c r="H440" s="106">
        <f t="shared" si="80"/>
        <v>21185.33593</v>
      </c>
      <c r="I440" s="107"/>
      <c r="J440" s="107"/>
      <c r="K440" s="107">
        <v>692.72384</v>
      </c>
      <c r="L440" s="107">
        <v>207.00279</v>
      </c>
      <c r="M440" s="107"/>
      <c r="N440" s="107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7"/>
      <c r="Z440" s="107"/>
      <c r="AA440" s="159">
        <v>951.35014</v>
      </c>
      <c r="AB440" s="106">
        <v>404.0691</v>
      </c>
      <c r="AC440" s="107"/>
      <c r="AD440" s="107"/>
      <c r="AE440" s="107"/>
      <c r="AF440" s="107"/>
      <c r="AG440" s="107">
        <v>95.5647</v>
      </c>
      <c r="AH440" s="107"/>
      <c r="AI440" s="107"/>
      <c r="AJ440" s="108">
        <v>868.78756</v>
      </c>
      <c r="AK440" s="107">
        <f>71.0179+51.881</f>
        <v>122.8989</v>
      </c>
      <c r="AL440" s="107"/>
      <c r="AM440" s="107"/>
      <c r="AN440" s="107"/>
      <c r="AO440" s="107">
        <v>5282.8108</v>
      </c>
      <c r="AP440" s="107">
        <v>1170</v>
      </c>
      <c r="AQ440" s="107"/>
      <c r="AR440" s="107"/>
      <c r="AS440" s="107"/>
      <c r="AT440" s="107"/>
      <c r="AU440" s="107"/>
      <c r="AV440" s="107"/>
      <c r="AW440" s="107"/>
      <c r="AX440" s="107">
        <v>4885.28004</v>
      </c>
      <c r="AY440" s="106">
        <v>2353.13897</v>
      </c>
      <c r="AZ440" s="107"/>
      <c r="BA440" s="107">
        <f>1590.25+1968.54341</f>
        <v>3558.79341</v>
      </c>
      <c r="BB440" s="107"/>
      <c r="BC440" s="107">
        <v>2859.03399</v>
      </c>
      <c r="BD440" s="107">
        <v>2803.84186</v>
      </c>
      <c r="BE440" s="107"/>
      <c r="BF440" s="107"/>
      <c r="BG440" s="107"/>
      <c r="BH440" s="107"/>
      <c r="BI440" s="107"/>
      <c r="BJ440" s="107">
        <v>9601.23864</v>
      </c>
      <c r="BK440" s="107"/>
      <c r="BL440" s="107"/>
      <c r="BM440" s="107"/>
      <c r="BN440" s="107"/>
      <c r="BO440" s="107"/>
      <c r="BP440" s="107"/>
      <c r="BQ440" s="109"/>
      <c r="BR440" s="109"/>
      <c r="BS440" s="109"/>
      <c r="BT440" s="109"/>
      <c r="BU440" s="138"/>
    </row>
    <row r="441" spans="1:73" ht="36.75" customHeight="1" outlineLevel="2">
      <c r="A441" s="35" t="s">
        <v>1292</v>
      </c>
      <c r="B441" s="37" t="s">
        <v>1186</v>
      </c>
      <c r="C441" s="20" t="s">
        <v>1496</v>
      </c>
      <c r="D441" s="218" t="s">
        <v>1050</v>
      </c>
      <c r="E441" s="203" t="s">
        <v>2245</v>
      </c>
      <c r="F441" s="108">
        <f t="shared" si="70"/>
        <v>27283.2572</v>
      </c>
      <c r="G441" s="106">
        <f t="shared" si="79"/>
        <v>11047.19896</v>
      </c>
      <c r="H441" s="106">
        <f t="shared" si="80"/>
        <v>16236.058239999998</v>
      </c>
      <c r="I441" s="107"/>
      <c r="J441" s="107"/>
      <c r="K441" s="107">
        <v>3027.24714</v>
      </c>
      <c r="L441" s="107">
        <v>384.84289</v>
      </c>
      <c r="M441" s="107">
        <v>328.90418</v>
      </c>
      <c r="N441" s="107"/>
      <c r="O441" s="106"/>
      <c r="P441" s="106"/>
      <c r="Q441" s="106"/>
      <c r="R441" s="106"/>
      <c r="S441" s="106"/>
      <c r="T441" s="106"/>
      <c r="U441" s="106"/>
      <c r="V441" s="106"/>
      <c r="W441" s="106">
        <v>1012.82111</v>
      </c>
      <c r="X441" s="106">
        <v>528.76352</v>
      </c>
      <c r="Y441" s="107">
        <v>116.448</v>
      </c>
      <c r="Z441" s="107">
        <v>233.8092</v>
      </c>
      <c r="AA441" s="159">
        <v>526.40779</v>
      </c>
      <c r="AB441" s="106">
        <v>272.94472</v>
      </c>
      <c r="AC441" s="107"/>
      <c r="AD441" s="107"/>
      <c r="AE441" s="107"/>
      <c r="AF441" s="107"/>
      <c r="AG441" s="107">
        <v>204.7815</v>
      </c>
      <c r="AH441" s="107"/>
      <c r="AI441" s="107"/>
      <c r="AJ441" s="108">
        <v>88.61655</v>
      </c>
      <c r="AK441" s="107">
        <v>6.0865</v>
      </c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7"/>
      <c r="AV441" s="107"/>
      <c r="AW441" s="107"/>
      <c r="AX441" s="107">
        <v>3894.60067</v>
      </c>
      <c r="AY441" s="106">
        <v>1937.69624</v>
      </c>
      <c r="AZ441" s="107"/>
      <c r="BA441" s="107">
        <v>112.41685</v>
      </c>
      <c r="BB441" s="107"/>
      <c r="BC441" s="107">
        <v>2469.67425</v>
      </c>
      <c r="BD441" s="107">
        <v>2421.89093</v>
      </c>
      <c r="BE441" s="107">
        <v>27.6</v>
      </c>
      <c r="BF441" s="107"/>
      <c r="BG441" s="107"/>
      <c r="BH441" s="107"/>
      <c r="BI441" s="107"/>
      <c r="BJ441" s="107">
        <v>9478.66964</v>
      </c>
      <c r="BK441" s="107"/>
      <c r="BL441" s="107"/>
      <c r="BM441" s="107">
        <v>209.03552</v>
      </c>
      <c r="BN441" s="107"/>
      <c r="BO441" s="107"/>
      <c r="BP441" s="107"/>
      <c r="BQ441" s="109"/>
      <c r="BR441" s="109"/>
      <c r="BS441" s="109"/>
      <c r="BT441" s="109"/>
      <c r="BU441" s="138"/>
    </row>
    <row r="442" spans="1:73" ht="39.75" customHeight="1" outlineLevel="2">
      <c r="A442" s="35" t="s">
        <v>1292</v>
      </c>
      <c r="B442" s="37" t="s">
        <v>1646</v>
      </c>
      <c r="C442" s="20" t="s">
        <v>1496</v>
      </c>
      <c r="D442" s="218" t="s">
        <v>1049</v>
      </c>
      <c r="E442" s="203" t="s">
        <v>2243</v>
      </c>
      <c r="F442" s="108">
        <f t="shared" si="70"/>
        <v>21479.15855</v>
      </c>
      <c r="G442" s="106">
        <f t="shared" si="79"/>
        <v>6300.28454</v>
      </c>
      <c r="H442" s="106">
        <f t="shared" si="80"/>
        <v>15178.874010000001</v>
      </c>
      <c r="I442" s="107"/>
      <c r="J442" s="107"/>
      <c r="K442" s="107"/>
      <c r="L442" s="107"/>
      <c r="M442" s="107"/>
      <c r="N442" s="107"/>
      <c r="O442" s="106"/>
      <c r="P442" s="106"/>
      <c r="Q442" s="106">
        <v>803.29557</v>
      </c>
      <c r="R442" s="106"/>
      <c r="S442" s="106">
        <f>662.38261+88.04351+50.85351</f>
        <v>801.27963</v>
      </c>
      <c r="T442" s="106">
        <v>273.38703</v>
      </c>
      <c r="U442" s="106"/>
      <c r="V442" s="106"/>
      <c r="W442" s="106"/>
      <c r="X442" s="106"/>
      <c r="Y442" s="107">
        <v>121.6</v>
      </c>
      <c r="Z442" s="107">
        <v>319.44</v>
      </c>
      <c r="AA442" s="159">
        <v>822.95843</v>
      </c>
      <c r="AB442" s="106">
        <v>457.15269</v>
      </c>
      <c r="AC442" s="107"/>
      <c r="AD442" s="107"/>
      <c r="AE442" s="107"/>
      <c r="AF442" s="107"/>
      <c r="AG442" s="107">
        <v>469.6086</v>
      </c>
      <c r="AH442" s="107"/>
      <c r="AI442" s="107"/>
      <c r="AJ442" s="108">
        <v>1111.52024</v>
      </c>
      <c r="AK442" s="107">
        <f>119.348+103.762</f>
        <v>223.11</v>
      </c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7"/>
      <c r="AV442" s="107"/>
      <c r="AW442" s="107"/>
      <c r="AX442" s="106"/>
      <c r="AY442" s="106">
        <v>3887.58037</v>
      </c>
      <c r="AZ442" s="107"/>
      <c r="BA442" s="107"/>
      <c r="BB442" s="107"/>
      <c r="BC442" s="107">
        <v>4554.44648</v>
      </c>
      <c r="BD442" s="107">
        <v>4466.49986</v>
      </c>
      <c r="BE442" s="107">
        <v>70.81862</v>
      </c>
      <c r="BF442" s="107"/>
      <c r="BG442" s="107"/>
      <c r="BH442" s="107"/>
      <c r="BI442" s="107"/>
      <c r="BJ442" s="107">
        <v>3096.46103</v>
      </c>
      <c r="BK442" s="107"/>
      <c r="BL442" s="107"/>
      <c r="BM442" s="107"/>
      <c r="BN442" s="107"/>
      <c r="BO442" s="107"/>
      <c r="BP442" s="107"/>
      <c r="BQ442" s="109"/>
      <c r="BR442" s="109"/>
      <c r="BS442" s="109"/>
      <c r="BT442" s="109"/>
      <c r="BU442" s="138"/>
    </row>
    <row r="443" spans="1:73" ht="60.75" outlineLevel="2">
      <c r="A443" s="35" t="s">
        <v>1292</v>
      </c>
      <c r="B443" s="37" t="s">
        <v>500</v>
      </c>
      <c r="C443" s="20" t="s">
        <v>1496</v>
      </c>
      <c r="D443" s="218" t="s">
        <v>956</v>
      </c>
      <c r="E443" s="203" t="s">
        <v>2247</v>
      </c>
      <c r="F443" s="108">
        <f aca="true" t="shared" si="81" ref="F443:F496">G443+H443</f>
        <v>239.5982</v>
      </c>
      <c r="G443" s="106">
        <f t="shared" si="79"/>
        <v>0</v>
      </c>
      <c r="H443" s="106">
        <f t="shared" si="80"/>
        <v>239.5982</v>
      </c>
      <c r="I443" s="107"/>
      <c r="J443" s="107"/>
      <c r="K443" s="107"/>
      <c r="L443" s="107"/>
      <c r="M443" s="107"/>
      <c r="N443" s="107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7"/>
      <c r="Z443" s="107"/>
      <c r="AA443" s="106"/>
      <c r="AB443" s="106"/>
      <c r="AC443" s="107"/>
      <c r="AD443" s="107"/>
      <c r="AE443" s="107"/>
      <c r="AF443" s="107"/>
      <c r="AG443" s="107"/>
      <c r="AH443" s="107"/>
      <c r="AI443" s="107"/>
      <c r="AJ443" s="108">
        <v>0</v>
      </c>
      <c r="AK443" s="107"/>
      <c r="AL443" s="107"/>
      <c r="AM443" s="107"/>
      <c r="AN443" s="107"/>
      <c r="AO443" s="107"/>
      <c r="AP443" s="107">
        <v>108.16</v>
      </c>
      <c r="AQ443" s="107"/>
      <c r="AR443" s="107"/>
      <c r="AS443" s="107"/>
      <c r="AT443" s="107"/>
      <c r="AU443" s="107"/>
      <c r="AV443" s="107"/>
      <c r="AW443" s="107"/>
      <c r="AX443" s="107"/>
      <c r="AY443" s="106"/>
      <c r="AZ443" s="107"/>
      <c r="BA443" s="107">
        <f>83.3636+48.0746</f>
        <v>131.4382</v>
      </c>
      <c r="BB443" s="107"/>
      <c r="BC443" s="107"/>
      <c r="BD443" s="107"/>
      <c r="BE443" s="107"/>
      <c r="BF443" s="107"/>
      <c r="BG443" s="107"/>
      <c r="BH443" s="107"/>
      <c r="BI443" s="107"/>
      <c r="BJ443" s="107"/>
      <c r="BK443" s="107"/>
      <c r="BL443" s="107"/>
      <c r="BM443" s="107"/>
      <c r="BN443" s="107"/>
      <c r="BO443" s="107"/>
      <c r="BP443" s="107"/>
      <c r="BQ443" s="109"/>
      <c r="BR443" s="109"/>
      <c r="BS443" s="109"/>
      <c r="BT443" s="109"/>
      <c r="BU443" s="138"/>
    </row>
    <row r="444" spans="1:73" ht="37.5" customHeight="1" outlineLevel="2">
      <c r="A444" s="35" t="s">
        <v>1292</v>
      </c>
      <c r="B444" s="37" t="s">
        <v>550</v>
      </c>
      <c r="C444" s="20" t="s">
        <v>1496</v>
      </c>
      <c r="D444" s="218" t="s">
        <v>552</v>
      </c>
      <c r="E444" s="203" t="s">
        <v>2246</v>
      </c>
      <c r="F444" s="108">
        <f t="shared" si="81"/>
        <v>4827.89917</v>
      </c>
      <c r="G444" s="106">
        <f t="shared" si="79"/>
        <v>2217.45982</v>
      </c>
      <c r="H444" s="106">
        <f t="shared" si="80"/>
        <v>2610.4393499999996</v>
      </c>
      <c r="I444" s="107"/>
      <c r="J444" s="107"/>
      <c r="K444" s="107">
        <v>299.09928</v>
      </c>
      <c r="L444" s="107">
        <v>71.52598</v>
      </c>
      <c r="M444" s="107"/>
      <c r="N444" s="107"/>
      <c r="O444" s="106"/>
      <c r="P444" s="106"/>
      <c r="Q444" s="106"/>
      <c r="R444" s="106"/>
      <c r="S444" s="106">
        <v>98.94977</v>
      </c>
      <c r="T444" s="106">
        <v>24.73744</v>
      </c>
      <c r="U444" s="106"/>
      <c r="V444" s="106"/>
      <c r="W444" s="106">
        <v>554.33882</v>
      </c>
      <c r="X444" s="106">
        <v>289.40368</v>
      </c>
      <c r="Y444" s="107">
        <v>26.17947</v>
      </c>
      <c r="Z444" s="107">
        <v>124.1823</v>
      </c>
      <c r="AA444" s="159">
        <v>201.43063</v>
      </c>
      <c r="AB444" s="106">
        <v>102.99801</v>
      </c>
      <c r="AC444" s="107"/>
      <c r="AD444" s="107"/>
      <c r="AE444" s="107"/>
      <c r="AF444" s="107"/>
      <c r="AG444" s="107">
        <v>69.9744</v>
      </c>
      <c r="AH444" s="107"/>
      <c r="AI444" s="107"/>
      <c r="AJ444" s="108">
        <v>0</v>
      </c>
      <c r="AK444" s="107">
        <v>5.2377</v>
      </c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7"/>
      <c r="AV444" s="107"/>
      <c r="AW444" s="107"/>
      <c r="AX444" s="107"/>
      <c r="AY444" s="106">
        <v>487.36782</v>
      </c>
      <c r="AZ444" s="107"/>
      <c r="BA444" s="107">
        <v>174.59295</v>
      </c>
      <c r="BB444" s="107"/>
      <c r="BC444" s="107">
        <v>1037.46185</v>
      </c>
      <c r="BD444" s="107">
        <v>1017.39267</v>
      </c>
      <c r="BE444" s="107">
        <v>27.6</v>
      </c>
      <c r="BF444" s="107"/>
      <c r="BG444" s="107"/>
      <c r="BH444" s="107"/>
      <c r="BI444" s="107"/>
      <c r="BJ444" s="107"/>
      <c r="BK444" s="107"/>
      <c r="BL444" s="107"/>
      <c r="BM444" s="107">
        <v>215.4264</v>
      </c>
      <c r="BN444" s="107"/>
      <c r="BO444" s="107"/>
      <c r="BP444" s="107"/>
      <c r="BQ444" s="109"/>
      <c r="BR444" s="109"/>
      <c r="BS444" s="109"/>
      <c r="BT444" s="109"/>
      <c r="BU444" s="138"/>
    </row>
    <row r="445" spans="1:73" ht="38.25" customHeight="1" outlineLevel="2">
      <c r="A445" s="24" t="s">
        <v>1292</v>
      </c>
      <c r="B445" s="37" t="s">
        <v>283</v>
      </c>
      <c r="C445" s="20" t="s">
        <v>710</v>
      </c>
      <c r="D445" s="218" t="s">
        <v>697</v>
      </c>
      <c r="E445" s="220" t="s">
        <v>2248</v>
      </c>
      <c r="F445" s="108">
        <f t="shared" si="81"/>
        <v>311.96687000000003</v>
      </c>
      <c r="G445" s="106">
        <f t="shared" si="79"/>
        <v>155.31979</v>
      </c>
      <c r="H445" s="106">
        <f t="shared" si="80"/>
        <v>156.64708000000002</v>
      </c>
      <c r="I445" s="107"/>
      <c r="J445" s="107"/>
      <c r="K445" s="107"/>
      <c r="L445" s="107"/>
      <c r="M445" s="107"/>
      <c r="N445" s="107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7">
        <v>3.04</v>
      </c>
      <c r="Z445" s="107">
        <v>7.986</v>
      </c>
      <c r="AA445" s="106">
        <f>9.5909+46.4066</f>
        <v>55.997499999999995</v>
      </c>
      <c r="AB445" s="106">
        <f>5.94219+29.71096</f>
        <v>35.65315</v>
      </c>
      <c r="AC445" s="107"/>
      <c r="AD445" s="107"/>
      <c r="AE445" s="107"/>
      <c r="AF445" s="107"/>
      <c r="AG445" s="107"/>
      <c r="AH445" s="107"/>
      <c r="AI445" s="107"/>
      <c r="AJ445" s="108">
        <v>18.58528</v>
      </c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7"/>
      <c r="AV445" s="107"/>
      <c r="AW445" s="107"/>
      <c r="AX445" s="107"/>
      <c r="AY445" s="106"/>
      <c r="AZ445" s="107"/>
      <c r="BA445" s="107"/>
      <c r="BB445" s="107"/>
      <c r="BC445" s="107">
        <v>96.28229</v>
      </c>
      <c r="BD445" s="107">
        <v>94.42265</v>
      </c>
      <c r="BE445" s="107"/>
      <c r="BF445" s="107"/>
      <c r="BG445" s="107"/>
      <c r="BH445" s="107"/>
      <c r="BI445" s="107"/>
      <c r="BJ445" s="107"/>
      <c r="BK445" s="107"/>
      <c r="BL445" s="107"/>
      <c r="BM445" s="107"/>
      <c r="BN445" s="107"/>
      <c r="BO445" s="107"/>
      <c r="BP445" s="107"/>
      <c r="BQ445" s="109"/>
      <c r="BR445" s="109"/>
      <c r="BS445" s="109"/>
      <c r="BT445" s="109"/>
      <c r="BU445" s="138"/>
    </row>
    <row r="446" spans="1:73" ht="38.25" customHeight="1" outlineLevel="2">
      <c r="A446" s="35" t="s">
        <v>1292</v>
      </c>
      <c r="B446" s="37" t="s">
        <v>910</v>
      </c>
      <c r="C446" s="20" t="s">
        <v>587</v>
      </c>
      <c r="D446" s="218" t="s">
        <v>1548</v>
      </c>
      <c r="E446" s="220" t="s">
        <v>2249</v>
      </c>
      <c r="F446" s="108">
        <f t="shared" si="81"/>
        <v>122.86601999999999</v>
      </c>
      <c r="G446" s="106">
        <f t="shared" si="79"/>
        <v>71.38851</v>
      </c>
      <c r="H446" s="106">
        <f t="shared" si="80"/>
        <v>51.47751</v>
      </c>
      <c r="I446" s="107"/>
      <c r="J446" s="107"/>
      <c r="K446" s="107"/>
      <c r="L446" s="107"/>
      <c r="M446" s="107"/>
      <c r="N446" s="107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7"/>
      <c r="Z446" s="107"/>
      <c r="AA446" s="106">
        <v>39.09386</v>
      </c>
      <c r="AB446" s="106">
        <v>19.80731</v>
      </c>
      <c r="AC446" s="107"/>
      <c r="AD446" s="107"/>
      <c r="AE446" s="107"/>
      <c r="AF446" s="107"/>
      <c r="AG446" s="107"/>
      <c r="AH446" s="107"/>
      <c r="AI446" s="107"/>
      <c r="AJ446" s="108">
        <v>0</v>
      </c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6"/>
      <c r="AZ446" s="107"/>
      <c r="BA446" s="107"/>
      <c r="BB446" s="107"/>
      <c r="BC446" s="107">
        <v>32.29465</v>
      </c>
      <c r="BD446" s="107">
        <v>31.6702</v>
      </c>
      <c r="BE446" s="107"/>
      <c r="BF446" s="107"/>
      <c r="BG446" s="107"/>
      <c r="BH446" s="107"/>
      <c r="BI446" s="107"/>
      <c r="BJ446" s="107"/>
      <c r="BK446" s="107"/>
      <c r="BL446" s="107"/>
      <c r="BM446" s="107"/>
      <c r="BN446" s="107"/>
      <c r="BO446" s="107"/>
      <c r="BP446" s="107"/>
      <c r="BQ446" s="109"/>
      <c r="BR446" s="109"/>
      <c r="BS446" s="109"/>
      <c r="BT446" s="109"/>
      <c r="BU446" s="138"/>
    </row>
    <row r="447" spans="1:73" ht="38.25" customHeight="1" outlineLevel="2">
      <c r="A447" s="35" t="s">
        <v>1292</v>
      </c>
      <c r="B447" s="37" t="s">
        <v>1430</v>
      </c>
      <c r="C447" s="20" t="s">
        <v>587</v>
      </c>
      <c r="D447" s="218" t="s">
        <v>1542</v>
      </c>
      <c r="E447" s="220" t="s">
        <v>2250</v>
      </c>
      <c r="F447" s="108">
        <f t="shared" si="81"/>
        <v>338.81646</v>
      </c>
      <c r="G447" s="106">
        <f t="shared" si="79"/>
        <v>144.71577000000002</v>
      </c>
      <c r="H447" s="106">
        <f t="shared" si="80"/>
        <v>194.10069</v>
      </c>
      <c r="I447" s="107"/>
      <c r="J447" s="107"/>
      <c r="K447" s="107"/>
      <c r="L447" s="107"/>
      <c r="M447" s="107"/>
      <c r="N447" s="107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7"/>
      <c r="Z447" s="107"/>
      <c r="AA447" s="159">
        <v>82.8264</v>
      </c>
      <c r="AB447" s="106">
        <v>44.56645</v>
      </c>
      <c r="AC447" s="107"/>
      <c r="AD447" s="107"/>
      <c r="AE447" s="107"/>
      <c r="AF447" s="107"/>
      <c r="AG447" s="107"/>
      <c r="AH447" s="107"/>
      <c r="AI447" s="107"/>
      <c r="AJ447" s="108">
        <v>0</v>
      </c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7"/>
      <c r="AV447" s="107"/>
      <c r="AW447" s="107"/>
      <c r="AX447" s="107"/>
      <c r="AY447" s="106"/>
      <c r="AZ447" s="107"/>
      <c r="BA447" s="107">
        <v>88.84435</v>
      </c>
      <c r="BB447" s="107"/>
      <c r="BC447" s="107">
        <v>61.88937</v>
      </c>
      <c r="BD447" s="107">
        <v>60.68989</v>
      </c>
      <c r="BE447" s="107"/>
      <c r="BF447" s="107"/>
      <c r="BG447" s="107"/>
      <c r="BH447" s="107"/>
      <c r="BI447" s="107"/>
      <c r="BJ447" s="107"/>
      <c r="BK447" s="107"/>
      <c r="BL447" s="107"/>
      <c r="BM447" s="107"/>
      <c r="BN447" s="107"/>
      <c r="BO447" s="107"/>
      <c r="BP447" s="107"/>
      <c r="BQ447" s="109"/>
      <c r="BR447" s="109"/>
      <c r="BS447" s="109"/>
      <c r="BT447" s="109"/>
      <c r="BU447" s="138"/>
    </row>
    <row r="448" spans="1:73" ht="38.25" customHeight="1" outlineLevel="2">
      <c r="A448" s="35" t="s">
        <v>1292</v>
      </c>
      <c r="B448" s="37" t="s">
        <v>903</v>
      </c>
      <c r="C448" s="20" t="s">
        <v>587</v>
      </c>
      <c r="D448" s="218" t="s">
        <v>1540</v>
      </c>
      <c r="E448" s="220" t="s">
        <v>2251</v>
      </c>
      <c r="F448" s="108">
        <f t="shared" si="81"/>
        <v>247.49928999999997</v>
      </c>
      <c r="G448" s="106">
        <f t="shared" si="79"/>
        <v>134.77155</v>
      </c>
      <c r="H448" s="106">
        <f t="shared" si="80"/>
        <v>112.72774</v>
      </c>
      <c r="I448" s="107"/>
      <c r="J448" s="107"/>
      <c r="K448" s="107"/>
      <c r="L448" s="107"/>
      <c r="M448" s="107"/>
      <c r="N448" s="107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7"/>
      <c r="Z448" s="107"/>
      <c r="AA448" s="159">
        <v>71.63107</v>
      </c>
      <c r="AB448" s="106">
        <v>38.03003</v>
      </c>
      <c r="AC448" s="107"/>
      <c r="AD448" s="107"/>
      <c r="AE448" s="107"/>
      <c r="AF448" s="107"/>
      <c r="AG448" s="107"/>
      <c r="AH448" s="107"/>
      <c r="AI448" s="107"/>
      <c r="AJ448" s="108">
        <v>12.77738</v>
      </c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7"/>
      <c r="AV448" s="107"/>
      <c r="AW448" s="107"/>
      <c r="AX448" s="107"/>
      <c r="AY448" s="106"/>
      <c r="AZ448" s="107"/>
      <c r="BA448" s="107"/>
      <c r="BB448" s="107"/>
      <c r="BC448" s="107">
        <v>63.14048</v>
      </c>
      <c r="BD448" s="107">
        <v>61.92033</v>
      </c>
      <c r="BE448" s="107"/>
      <c r="BF448" s="107"/>
      <c r="BG448" s="107"/>
      <c r="BH448" s="107"/>
      <c r="BI448" s="107"/>
      <c r="BJ448" s="107"/>
      <c r="BK448" s="107"/>
      <c r="BL448" s="107"/>
      <c r="BM448" s="107"/>
      <c r="BN448" s="107"/>
      <c r="BO448" s="107"/>
      <c r="BP448" s="107"/>
      <c r="BQ448" s="109"/>
      <c r="BR448" s="109"/>
      <c r="BS448" s="109"/>
      <c r="BT448" s="109"/>
      <c r="BU448" s="138"/>
    </row>
    <row r="449" spans="1:73" ht="38.25" customHeight="1" outlineLevel="2">
      <c r="A449" s="35" t="s">
        <v>1292</v>
      </c>
      <c r="B449" s="37" t="s">
        <v>1647</v>
      </c>
      <c r="C449" s="20" t="s">
        <v>587</v>
      </c>
      <c r="D449" s="218" t="s">
        <v>1672</v>
      </c>
      <c r="E449" s="220" t="s">
        <v>2252</v>
      </c>
      <c r="F449" s="108">
        <f t="shared" si="81"/>
        <v>45.993970000000004</v>
      </c>
      <c r="G449" s="106">
        <f t="shared" si="79"/>
        <v>28.243759999999998</v>
      </c>
      <c r="H449" s="106">
        <f t="shared" si="80"/>
        <v>17.750210000000003</v>
      </c>
      <c r="I449" s="107"/>
      <c r="J449" s="107"/>
      <c r="K449" s="107"/>
      <c r="L449" s="107"/>
      <c r="M449" s="107"/>
      <c r="N449" s="107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7"/>
      <c r="Z449" s="107"/>
      <c r="AA449" s="159">
        <v>20.24149</v>
      </c>
      <c r="AB449" s="106">
        <v>9.90365</v>
      </c>
      <c r="AC449" s="107"/>
      <c r="AD449" s="107"/>
      <c r="AE449" s="107"/>
      <c r="AF449" s="107"/>
      <c r="AG449" s="107"/>
      <c r="AH449" s="107"/>
      <c r="AI449" s="107"/>
      <c r="AJ449" s="108">
        <v>0</v>
      </c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6"/>
      <c r="AZ449" s="107"/>
      <c r="BA449" s="107"/>
      <c r="BB449" s="107"/>
      <c r="BC449" s="107">
        <v>8.00227</v>
      </c>
      <c r="BD449" s="107">
        <v>7.84656</v>
      </c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9"/>
      <c r="BR449" s="109"/>
      <c r="BS449" s="109"/>
      <c r="BT449" s="109"/>
      <c r="BU449" s="138"/>
    </row>
    <row r="450" spans="1:73" ht="38.25" customHeight="1" outlineLevel="2">
      <c r="A450" s="19" t="s">
        <v>1292</v>
      </c>
      <c r="B450" s="37" t="s">
        <v>867</v>
      </c>
      <c r="C450" s="20" t="s">
        <v>587</v>
      </c>
      <c r="D450" s="218" t="s">
        <v>1541</v>
      </c>
      <c r="E450" s="220" t="s">
        <v>2253</v>
      </c>
      <c r="F450" s="108">
        <f t="shared" si="81"/>
        <v>85.92323999999999</v>
      </c>
      <c r="G450" s="106">
        <f t="shared" si="79"/>
        <v>43.38034</v>
      </c>
      <c r="H450" s="106">
        <f t="shared" si="80"/>
        <v>42.5429</v>
      </c>
      <c r="I450" s="107"/>
      <c r="J450" s="107"/>
      <c r="K450" s="107"/>
      <c r="L450" s="107"/>
      <c r="M450" s="107"/>
      <c r="N450" s="107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7"/>
      <c r="Z450" s="107"/>
      <c r="AA450" s="159"/>
      <c r="AB450" s="106"/>
      <c r="AC450" s="107"/>
      <c r="AD450" s="107"/>
      <c r="AE450" s="107"/>
      <c r="AF450" s="107"/>
      <c r="AG450" s="107"/>
      <c r="AH450" s="107"/>
      <c r="AI450" s="107"/>
      <c r="AJ450" s="108">
        <v>0</v>
      </c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7"/>
      <c r="AV450" s="107"/>
      <c r="AW450" s="107"/>
      <c r="AX450" s="107"/>
      <c r="AY450" s="106"/>
      <c r="AZ450" s="107"/>
      <c r="BA450" s="107"/>
      <c r="BB450" s="107"/>
      <c r="BC450" s="107">
        <v>43.38034</v>
      </c>
      <c r="BD450" s="107">
        <v>42.5429</v>
      </c>
      <c r="BE450" s="107"/>
      <c r="BF450" s="107"/>
      <c r="BG450" s="107"/>
      <c r="BH450" s="107"/>
      <c r="BI450" s="107"/>
      <c r="BJ450" s="107"/>
      <c r="BK450" s="107"/>
      <c r="BL450" s="107"/>
      <c r="BM450" s="107"/>
      <c r="BN450" s="107"/>
      <c r="BO450" s="107"/>
      <c r="BP450" s="107"/>
      <c r="BQ450" s="109"/>
      <c r="BR450" s="109"/>
      <c r="BS450" s="109"/>
      <c r="BT450" s="109"/>
      <c r="BU450" s="138"/>
    </row>
    <row r="451" spans="1:73" ht="38.25" customHeight="1" outlineLevel="2">
      <c r="A451" s="19" t="s">
        <v>1292</v>
      </c>
      <c r="B451" s="37" t="s">
        <v>1649</v>
      </c>
      <c r="C451" s="20" t="s">
        <v>587</v>
      </c>
      <c r="D451" s="218" t="s">
        <v>1673</v>
      </c>
      <c r="E451" s="220" t="s">
        <v>2254</v>
      </c>
      <c r="F451" s="108">
        <f t="shared" si="81"/>
        <v>35.628190000000004</v>
      </c>
      <c r="G451" s="106">
        <f t="shared" si="79"/>
        <v>17.987</v>
      </c>
      <c r="H451" s="106">
        <f t="shared" si="80"/>
        <v>17.64119</v>
      </c>
      <c r="I451" s="107"/>
      <c r="J451" s="107"/>
      <c r="K451" s="107"/>
      <c r="L451" s="107"/>
      <c r="M451" s="107"/>
      <c r="N451" s="107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7"/>
      <c r="Z451" s="107"/>
      <c r="AA451" s="159"/>
      <c r="AB451" s="106"/>
      <c r="AC451" s="107"/>
      <c r="AD451" s="107"/>
      <c r="AE451" s="107"/>
      <c r="AF451" s="107"/>
      <c r="AG451" s="107"/>
      <c r="AH451" s="107"/>
      <c r="AI451" s="107"/>
      <c r="AJ451" s="108">
        <v>0</v>
      </c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7"/>
      <c r="AV451" s="107"/>
      <c r="AW451" s="107"/>
      <c r="AX451" s="107"/>
      <c r="AY451" s="106"/>
      <c r="AZ451" s="107"/>
      <c r="BA451" s="107"/>
      <c r="BB451" s="107"/>
      <c r="BC451" s="107">
        <v>17.987</v>
      </c>
      <c r="BD451" s="107">
        <v>17.64119</v>
      </c>
      <c r="BE451" s="107"/>
      <c r="BF451" s="107"/>
      <c r="BG451" s="107"/>
      <c r="BH451" s="107"/>
      <c r="BI451" s="107"/>
      <c r="BJ451" s="107"/>
      <c r="BK451" s="107"/>
      <c r="BL451" s="107"/>
      <c r="BM451" s="107"/>
      <c r="BN451" s="107"/>
      <c r="BO451" s="107"/>
      <c r="BP451" s="107"/>
      <c r="BQ451" s="109"/>
      <c r="BR451" s="109"/>
      <c r="BS451" s="109"/>
      <c r="BT451" s="109"/>
      <c r="BU451" s="138"/>
    </row>
    <row r="452" spans="1:73" ht="38.25" customHeight="1" outlineLevel="2">
      <c r="A452" s="35" t="s">
        <v>1292</v>
      </c>
      <c r="B452" s="37" t="s">
        <v>902</v>
      </c>
      <c r="C452" s="20" t="s">
        <v>587</v>
      </c>
      <c r="D452" s="218" t="s">
        <v>1544</v>
      </c>
      <c r="E452" s="220" t="s">
        <v>2255</v>
      </c>
      <c r="F452" s="108">
        <f t="shared" si="81"/>
        <v>123.73867</v>
      </c>
      <c r="G452" s="106">
        <f t="shared" si="79"/>
        <v>71.46105</v>
      </c>
      <c r="H452" s="106">
        <f t="shared" si="80"/>
        <v>52.27762</v>
      </c>
      <c r="I452" s="107"/>
      <c r="J452" s="107"/>
      <c r="K452" s="107"/>
      <c r="L452" s="107"/>
      <c r="M452" s="107"/>
      <c r="N452" s="107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7"/>
      <c r="Z452" s="107"/>
      <c r="AA452" s="159">
        <v>45.75768</v>
      </c>
      <c r="AB452" s="106">
        <v>24.16492</v>
      </c>
      <c r="AC452" s="107"/>
      <c r="AD452" s="107"/>
      <c r="AE452" s="107"/>
      <c r="AF452" s="107"/>
      <c r="AG452" s="107"/>
      <c r="AH452" s="107"/>
      <c r="AI452" s="107"/>
      <c r="AJ452" s="108">
        <v>2.90395</v>
      </c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7"/>
      <c r="AV452" s="107"/>
      <c r="AW452" s="107"/>
      <c r="AX452" s="107"/>
      <c r="AY452" s="106"/>
      <c r="AZ452" s="107"/>
      <c r="BA452" s="107"/>
      <c r="BB452" s="107"/>
      <c r="BC452" s="107">
        <v>25.70337</v>
      </c>
      <c r="BD452" s="107">
        <v>25.20875</v>
      </c>
      <c r="BE452" s="107"/>
      <c r="BF452" s="107"/>
      <c r="BG452" s="107"/>
      <c r="BH452" s="107"/>
      <c r="BI452" s="107"/>
      <c r="BJ452" s="107"/>
      <c r="BK452" s="107"/>
      <c r="BL452" s="107"/>
      <c r="BM452" s="107"/>
      <c r="BN452" s="107"/>
      <c r="BO452" s="107"/>
      <c r="BP452" s="107"/>
      <c r="BQ452" s="109"/>
      <c r="BR452" s="109"/>
      <c r="BS452" s="109"/>
      <c r="BT452" s="109"/>
      <c r="BU452" s="138"/>
    </row>
    <row r="453" spans="1:73" ht="38.25" customHeight="1" outlineLevel="2">
      <c r="A453" s="35" t="s">
        <v>1292</v>
      </c>
      <c r="B453" s="37" t="s">
        <v>1517</v>
      </c>
      <c r="C453" s="20" t="s">
        <v>587</v>
      </c>
      <c r="D453" s="225" t="s">
        <v>1004</v>
      </c>
      <c r="E453" s="226" t="s">
        <v>2256</v>
      </c>
      <c r="F453" s="108">
        <f t="shared" si="81"/>
        <v>185.00334</v>
      </c>
      <c r="G453" s="106">
        <f t="shared" si="79"/>
        <v>103.85346000000001</v>
      </c>
      <c r="H453" s="106">
        <f t="shared" si="80"/>
        <v>81.14988</v>
      </c>
      <c r="I453" s="107"/>
      <c r="J453" s="107"/>
      <c r="K453" s="107"/>
      <c r="L453" s="107"/>
      <c r="M453" s="107"/>
      <c r="N453" s="107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7"/>
      <c r="Z453" s="107"/>
      <c r="AA453" s="159">
        <v>41.90187</v>
      </c>
      <c r="AB453" s="106">
        <v>20.40153</v>
      </c>
      <c r="AC453" s="107"/>
      <c r="AD453" s="107"/>
      <c r="AE453" s="107"/>
      <c r="AF453" s="107"/>
      <c r="AG453" s="107"/>
      <c r="AH453" s="107"/>
      <c r="AI453" s="107"/>
      <c r="AJ453" s="108">
        <v>0</v>
      </c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7"/>
      <c r="AV453" s="107"/>
      <c r="AW453" s="107"/>
      <c r="AX453" s="107"/>
      <c r="AY453" s="106"/>
      <c r="AZ453" s="107"/>
      <c r="BA453" s="107"/>
      <c r="BB453" s="107"/>
      <c r="BC453" s="107">
        <v>61.95159</v>
      </c>
      <c r="BD453" s="107">
        <v>60.74835</v>
      </c>
      <c r="BE453" s="107"/>
      <c r="BF453" s="107"/>
      <c r="BG453" s="107"/>
      <c r="BH453" s="107"/>
      <c r="BI453" s="107"/>
      <c r="BJ453" s="107"/>
      <c r="BK453" s="107"/>
      <c r="BL453" s="107"/>
      <c r="BM453" s="107"/>
      <c r="BN453" s="107"/>
      <c r="BO453" s="107"/>
      <c r="BP453" s="107"/>
      <c r="BQ453" s="109"/>
      <c r="BR453" s="109"/>
      <c r="BS453" s="109"/>
      <c r="BT453" s="109"/>
      <c r="BU453" s="138"/>
    </row>
    <row r="454" spans="1:73" ht="38.25" customHeight="1" outlineLevel="2">
      <c r="A454" s="35" t="s">
        <v>1292</v>
      </c>
      <c r="B454" s="37" t="s">
        <v>806</v>
      </c>
      <c r="C454" s="20" t="s">
        <v>587</v>
      </c>
      <c r="D454" s="218" t="s">
        <v>1547</v>
      </c>
      <c r="E454" s="220" t="s">
        <v>2257</v>
      </c>
      <c r="F454" s="108">
        <f t="shared" si="81"/>
        <v>209.19067</v>
      </c>
      <c r="G454" s="106">
        <f t="shared" si="79"/>
        <v>86.35016</v>
      </c>
      <c r="H454" s="106">
        <f t="shared" si="80"/>
        <v>122.84051</v>
      </c>
      <c r="I454" s="107"/>
      <c r="J454" s="107"/>
      <c r="K454" s="107"/>
      <c r="L454" s="107"/>
      <c r="M454" s="107"/>
      <c r="N454" s="107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7">
        <v>4.56</v>
      </c>
      <c r="Z454" s="107">
        <v>11.979</v>
      </c>
      <c r="AA454" s="159">
        <f>12.70054+31.03695</f>
        <v>43.73749</v>
      </c>
      <c r="AB454" s="106">
        <f>7.92292+19.80731</f>
        <v>27.730230000000002</v>
      </c>
      <c r="AC454" s="107"/>
      <c r="AD454" s="107"/>
      <c r="AE454" s="107"/>
      <c r="AF454" s="107"/>
      <c r="AG454" s="107"/>
      <c r="AH454" s="107"/>
      <c r="AI454" s="107"/>
      <c r="AJ454" s="108">
        <v>7.55027</v>
      </c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7"/>
      <c r="AV454" s="107"/>
      <c r="AW454" s="107"/>
      <c r="AX454" s="107"/>
      <c r="AY454" s="106"/>
      <c r="AZ454" s="107"/>
      <c r="BA454" s="107">
        <v>38.2634</v>
      </c>
      <c r="BB454" s="107"/>
      <c r="BC454" s="107">
        <v>38.05267</v>
      </c>
      <c r="BD454" s="107">
        <v>37.31761</v>
      </c>
      <c r="BE454" s="107"/>
      <c r="BF454" s="107"/>
      <c r="BG454" s="107"/>
      <c r="BH454" s="107"/>
      <c r="BI454" s="107"/>
      <c r="BJ454" s="107"/>
      <c r="BK454" s="107"/>
      <c r="BL454" s="107"/>
      <c r="BM454" s="107"/>
      <c r="BN454" s="107"/>
      <c r="BO454" s="107"/>
      <c r="BP454" s="107"/>
      <c r="BQ454" s="109"/>
      <c r="BR454" s="109"/>
      <c r="BS454" s="109"/>
      <c r="BT454" s="109"/>
      <c r="BU454" s="138"/>
    </row>
    <row r="455" spans="1:73" ht="38.25" customHeight="1" outlineLevel="2">
      <c r="A455" s="35" t="s">
        <v>1292</v>
      </c>
      <c r="B455" s="37" t="s">
        <v>901</v>
      </c>
      <c r="C455" s="20" t="s">
        <v>587</v>
      </c>
      <c r="D455" s="218" t="s">
        <v>1324</v>
      </c>
      <c r="E455" s="220" t="s">
        <v>2258</v>
      </c>
      <c r="F455" s="108">
        <f t="shared" si="81"/>
        <v>250.35163</v>
      </c>
      <c r="G455" s="106">
        <f t="shared" si="79"/>
        <v>140.68746</v>
      </c>
      <c r="H455" s="106">
        <f t="shared" si="80"/>
        <v>109.66417</v>
      </c>
      <c r="I455" s="107"/>
      <c r="J455" s="107"/>
      <c r="K455" s="107"/>
      <c r="L455" s="107"/>
      <c r="M455" s="107"/>
      <c r="N455" s="107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7"/>
      <c r="Z455" s="107"/>
      <c r="AA455" s="159">
        <v>82.57338</v>
      </c>
      <c r="AB455" s="106">
        <v>43.37801</v>
      </c>
      <c r="AC455" s="107"/>
      <c r="AD455" s="107"/>
      <c r="AE455" s="107"/>
      <c r="AF455" s="107"/>
      <c r="AG455" s="107"/>
      <c r="AH455" s="107"/>
      <c r="AI455" s="107"/>
      <c r="AJ455" s="108">
        <v>9.29264</v>
      </c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7"/>
      <c r="AV455" s="107"/>
      <c r="AW455" s="107"/>
      <c r="AX455" s="107"/>
      <c r="AY455" s="106"/>
      <c r="AZ455" s="107"/>
      <c r="BA455" s="107"/>
      <c r="BB455" s="107"/>
      <c r="BC455" s="107">
        <v>58.11408</v>
      </c>
      <c r="BD455" s="107">
        <v>56.99352</v>
      </c>
      <c r="BE455" s="107"/>
      <c r="BF455" s="107"/>
      <c r="BG455" s="107"/>
      <c r="BH455" s="107"/>
      <c r="BI455" s="107"/>
      <c r="BJ455" s="107"/>
      <c r="BK455" s="107"/>
      <c r="BL455" s="107"/>
      <c r="BM455" s="107"/>
      <c r="BN455" s="107"/>
      <c r="BO455" s="107"/>
      <c r="BP455" s="107"/>
      <c r="BQ455" s="109"/>
      <c r="BR455" s="109"/>
      <c r="BS455" s="109"/>
      <c r="BT455" s="109"/>
      <c r="BU455" s="138"/>
    </row>
    <row r="456" spans="1:73" ht="38.25" customHeight="1" outlineLevel="2">
      <c r="A456" s="24" t="s">
        <v>1292</v>
      </c>
      <c r="B456" s="37" t="s">
        <v>904</v>
      </c>
      <c r="C456" s="20" t="s">
        <v>587</v>
      </c>
      <c r="D456" s="218" t="s">
        <v>752</v>
      </c>
      <c r="E456" s="220" t="s">
        <v>2260</v>
      </c>
      <c r="F456" s="108">
        <f t="shared" si="81"/>
        <v>676.97527</v>
      </c>
      <c r="G456" s="106">
        <f t="shared" si="79"/>
        <v>370.2443</v>
      </c>
      <c r="H456" s="106">
        <f t="shared" si="80"/>
        <v>306.73097</v>
      </c>
      <c r="I456" s="107"/>
      <c r="J456" s="107"/>
      <c r="K456" s="107"/>
      <c r="L456" s="107"/>
      <c r="M456" s="107"/>
      <c r="N456" s="107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7"/>
      <c r="Z456" s="107"/>
      <c r="AA456" s="159">
        <v>169.67133</v>
      </c>
      <c r="AB456" s="106">
        <v>89.13289</v>
      </c>
      <c r="AC456" s="107"/>
      <c r="AD456" s="107"/>
      <c r="AE456" s="107"/>
      <c r="AF456" s="107"/>
      <c r="AG456" s="107"/>
      <c r="AH456" s="107"/>
      <c r="AI456" s="107"/>
      <c r="AJ456" s="108">
        <v>20.90844</v>
      </c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6"/>
      <c r="AZ456" s="107"/>
      <c r="BA456" s="107"/>
      <c r="BB456" s="107"/>
      <c r="BC456" s="107">
        <v>200.57297</v>
      </c>
      <c r="BD456" s="107">
        <v>196.68964</v>
      </c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9"/>
      <c r="BR456" s="109"/>
      <c r="BS456" s="109"/>
      <c r="BT456" s="109"/>
      <c r="BU456" s="138"/>
    </row>
    <row r="457" spans="1:73" ht="38.25" customHeight="1" outlineLevel="2">
      <c r="A457" s="24" t="s">
        <v>1292</v>
      </c>
      <c r="B457" s="37" t="s">
        <v>906</v>
      </c>
      <c r="C457" s="20" t="s">
        <v>587</v>
      </c>
      <c r="D457" s="218" t="s">
        <v>570</v>
      </c>
      <c r="E457" s="220" t="s">
        <v>2261</v>
      </c>
      <c r="F457" s="108">
        <f t="shared" si="81"/>
        <v>105.99055</v>
      </c>
      <c r="G457" s="106">
        <f t="shared" si="79"/>
        <v>55.03011</v>
      </c>
      <c r="H457" s="106">
        <f t="shared" si="80"/>
        <v>50.96044</v>
      </c>
      <c r="I457" s="107"/>
      <c r="J457" s="107"/>
      <c r="K457" s="107"/>
      <c r="L457" s="107"/>
      <c r="M457" s="107"/>
      <c r="N457" s="107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7"/>
      <c r="Z457" s="107"/>
      <c r="AA457" s="159">
        <v>24.30964</v>
      </c>
      <c r="AB457" s="106">
        <v>13.86512</v>
      </c>
      <c r="AC457" s="107"/>
      <c r="AD457" s="107"/>
      <c r="AE457" s="107"/>
      <c r="AF457" s="107"/>
      <c r="AG457" s="107"/>
      <c r="AH457" s="107"/>
      <c r="AI457" s="107"/>
      <c r="AJ457" s="108">
        <v>6.96948</v>
      </c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7"/>
      <c r="AV457" s="107"/>
      <c r="AW457" s="107"/>
      <c r="AX457" s="107"/>
      <c r="AY457" s="106"/>
      <c r="AZ457" s="107"/>
      <c r="BA457" s="107"/>
      <c r="BB457" s="107"/>
      <c r="BC457" s="107">
        <v>30.72047</v>
      </c>
      <c r="BD457" s="107">
        <v>30.12584</v>
      </c>
      <c r="BE457" s="107"/>
      <c r="BF457" s="107"/>
      <c r="BG457" s="107"/>
      <c r="BH457" s="107"/>
      <c r="BI457" s="107"/>
      <c r="BJ457" s="107"/>
      <c r="BK457" s="107"/>
      <c r="BL457" s="107"/>
      <c r="BM457" s="107"/>
      <c r="BN457" s="107"/>
      <c r="BO457" s="107"/>
      <c r="BP457" s="107"/>
      <c r="BQ457" s="109"/>
      <c r="BR457" s="109"/>
      <c r="BS457" s="109"/>
      <c r="BT457" s="109"/>
      <c r="BU457" s="138"/>
    </row>
    <row r="458" spans="1:73" ht="38.25" customHeight="1" outlineLevel="2">
      <c r="A458" s="24" t="s">
        <v>1292</v>
      </c>
      <c r="B458" s="37" t="s">
        <v>909</v>
      </c>
      <c r="C458" s="20" t="s">
        <v>587</v>
      </c>
      <c r="D458" s="218" t="s">
        <v>2259</v>
      </c>
      <c r="E458" s="220" t="s">
        <v>2262</v>
      </c>
      <c r="F458" s="108">
        <f t="shared" si="81"/>
        <v>166.8084</v>
      </c>
      <c r="G458" s="106">
        <f t="shared" si="79"/>
        <v>98.08798</v>
      </c>
      <c r="H458" s="106">
        <f t="shared" si="80"/>
        <v>68.72042</v>
      </c>
      <c r="I458" s="107"/>
      <c r="J458" s="107"/>
      <c r="K458" s="107"/>
      <c r="L458" s="107"/>
      <c r="M458" s="107"/>
      <c r="N458" s="107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7"/>
      <c r="Z458" s="107"/>
      <c r="AA458" s="159">
        <v>60.32759</v>
      </c>
      <c r="AB458" s="106">
        <v>31.69169</v>
      </c>
      <c r="AC458" s="107"/>
      <c r="AD458" s="107"/>
      <c r="AE458" s="107"/>
      <c r="AF458" s="107"/>
      <c r="AG458" s="107"/>
      <c r="AH458" s="107"/>
      <c r="AI458" s="107"/>
      <c r="AJ458" s="108">
        <v>0</v>
      </c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7"/>
      <c r="AV458" s="107"/>
      <c r="AW458" s="107"/>
      <c r="AX458" s="107"/>
      <c r="AY458" s="106"/>
      <c r="AZ458" s="107"/>
      <c r="BA458" s="107"/>
      <c r="BB458" s="107"/>
      <c r="BC458" s="107">
        <v>37.76039</v>
      </c>
      <c r="BD458" s="107">
        <v>37.02873</v>
      </c>
      <c r="BE458" s="107"/>
      <c r="BF458" s="107"/>
      <c r="BG458" s="107"/>
      <c r="BH458" s="107"/>
      <c r="BI458" s="107"/>
      <c r="BJ458" s="107"/>
      <c r="BK458" s="107"/>
      <c r="BL458" s="107"/>
      <c r="BM458" s="107"/>
      <c r="BN458" s="107"/>
      <c r="BO458" s="107"/>
      <c r="BP458" s="107"/>
      <c r="BQ458" s="109"/>
      <c r="BR458" s="109"/>
      <c r="BS458" s="109"/>
      <c r="BT458" s="109"/>
      <c r="BU458" s="138"/>
    </row>
    <row r="459" spans="1:73" ht="38.25" customHeight="1" outlineLevel="2">
      <c r="A459" s="24" t="s">
        <v>1292</v>
      </c>
      <c r="B459" s="37" t="s">
        <v>1431</v>
      </c>
      <c r="C459" s="20" t="s">
        <v>710</v>
      </c>
      <c r="D459" s="218" t="s">
        <v>1543</v>
      </c>
      <c r="E459" s="220" t="s">
        <v>2263</v>
      </c>
      <c r="F459" s="108">
        <f t="shared" si="81"/>
        <v>927.07477</v>
      </c>
      <c r="G459" s="106">
        <f t="shared" si="79"/>
        <v>283.59718</v>
      </c>
      <c r="H459" s="106">
        <f t="shared" si="80"/>
        <v>643.47759</v>
      </c>
      <c r="I459" s="107"/>
      <c r="J459" s="107"/>
      <c r="K459" s="107"/>
      <c r="L459" s="107"/>
      <c r="M459" s="107"/>
      <c r="N459" s="107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7"/>
      <c r="Z459" s="107"/>
      <c r="AA459" s="159">
        <v>142.38501</v>
      </c>
      <c r="AB459" s="106">
        <v>69.32558</v>
      </c>
      <c r="AC459" s="107"/>
      <c r="AD459" s="107"/>
      <c r="AE459" s="107"/>
      <c r="AF459" s="107"/>
      <c r="AG459" s="107"/>
      <c r="AH459" s="107"/>
      <c r="AI459" s="107"/>
      <c r="AJ459" s="108">
        <v>34.26661</v>
      </c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7"/>
      <c r="AV459" s="107"/>
      <c r="AW459" s="107"/>
      <c r="AX459" s="107"/>
      <c r="AY459" s="106"/>
      <c r="AZ459" s="107"/>
      <c r="BA459" s="107">
        <v>40.4782</v>
      </c>
      <c r="BB459" s="107"/>
      <c r="BC459" s="107">
        <v>141.21217</v>
      </c>
      <c r="BD459" s="107">
        <v>138.47724</v>
      </c>
      <c r="BE459" s="107"/>
      <c r="BF459" s="107"/>
      <c r="BG459" s="107"/>
      <c r="BH459" s="107"/>
      <c r="BI459" s="107"/>
      <c r="BJ459" s="107">
        <v>360.92996</v>
      </c>
      <c r="BK459" s="107"/>
      <c r="BL459" s="107"/>
      <c r="BM459" s="107"/>
      <c r="BN459" s="107"/>
      <c r="BO459" s="107"/>
      <c r="BP459" s="107"/>
      <c r="BQ459" s="109"/>
      <c r="BR459" s="109"/>
      <c r="BS459" s="109"/>
      <c r="BT459" s="109"/>
      <c r="BU459" s="138"/>
    </row>
    <row r="460" spans="1:73" ht="35.25" customHeight="1" outlineLevel="2">
      <c r="A460" s="24" t="s">
        <v>1292</v>
      </c>
      <c r="B460" s="37" t="s">
        <v>900</v>
      </c>
      <c r="C460" s="20" t="s">
        <v>710</v>
      </c>
      <c r="D460" s="257">
        <v>245011028142</v>
      </c>
      <c r="E460" s="258" t="s">
        <v>2264</v>
      </c>
      <c r="F460" s="108">
        <f t="shared" si="81"/>
        <v>82.7765</v>
      </c>
      <c r="G460" s="106">
        <f t="shared" si="79"/>
        <v>49.08966</v>
      </c>
      <c r="H460" s="106">
        <f t="shared" si="80"/>
        <v>33.686840000000004</v>
      </c>
      <c r="I460" s="107"/>
      <c r="J460" s="107"/>
      <c r="K460" s="107"/>
      <c r="L460" s="107"/>
      <c r="M460" s="107"/>
      <c r="N460" s="107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7"/>
      <c r="Z460" s="107"/>
      <c r="AA460" s="159">
        <v>30.49321</v>
      </c>
      <c r="AB460" s="106">
        <v>15.4497</v>
      </c>
      <c r="AC460" s="107"/>
      <c r="AD460" s="107"/>
      <c r="AE460" s="107"/>
      <c r="AF460" s="107"/>
      <c r="AG460" s="107"/>
      <c r="AH460" s="107"/>
      <c r="AI460" s="107"/>
      <c r="AJ460" s="108">
        <v>0</v>
      </c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7"/>
      <c r="AV460" s="107"/>
      <c r="AW460" s="107"/>
      <c r="AX460" s="107"/>
      <c r="AY460" s="106"/>
      <c r="AZ460" s="107"/>
      <c r="BA460" s="107"/>
      <c r="BB460" s="107"/>
      <c r="BC460" s="107">
        <v>18.59645</v>
      </c>
      <c r="BD460" s="107">
        <v>18.23714</v>
      </c>
      <c r="BE460" s="107"/>
      <c r="BF460" s="107"/>
      <c r="BG460" s="107"/>
      <c r="BH460" s="107"/>
      <c r="BI460" s="107"/>
      <c r="BJ460" s="107"/>
      <c r="BK460" s="107"/>
      <c r="BL460" s="107"/>
      <c r="BM460" s="107"/>
      <c r="BN460" s="107"/>
      <c r="BO460" s="107"/>
      <c r="BP460" s="107"/>
      <c r="BQ460" s="109"/>
      <c r="BR460" s="109"/>
      <c r="BS460" s="109"/>
      <c r="BT460" s="109"/>
      <c r="BU460" s="138"/>
    </row>
    <row r="461" spans="1:73" ht="38.25" customHeight="1" outlineLevel="2">
      <c r="A461" s="24" t="s">
        <v>1292</v>
      </c>
      <c r="B461" s="37" t="s">
        <v>1716</v>
      </c>
      <c r="C461" s="20" t="s">
        <v>710</v>
      </c>
      <c r="D461" s="257">
        <v>245011127249</v>
      </c>
      <c r="E461" s="258" t="s">
        <v>2265</v>
      </c>
      <c r="F461" s="108">
        <f t="shared" si="81"/>
        <v>114.60240000000002</v>
      </c>
      <c r="G461" s="106">
        <f t="shared" si="79"/>
        <v>37.28114</v>
      </c>
      <c r="H461" s="106">
        <f t="shared" si="80"/>
        <v>77.32126000000001</v>
      </c>
      <c r="I461" s="107"/>
      <c r="J461" s="107"/>
      <c r="K461" s="107"/>
      <c r="L461" s="107"/>
      <c r="M461" s="107"/>
      <c r="N461" s="107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7">
        <v>22.8</v>
      </c>
      <c r="Z461" s="107">
        <v>59.895</v>
      </c>
      <c r="AA461" s="159"/>
      <c r="AB461" s="106"/>
      <c r="AC461" s="107"/>
      <c r="AD461" s="107"/>
      <c r="AE461" s="107"/>
      <c r="AF461" s="107"/>
      <c r="AG461" s="107"/>
      <c r="AH461" s="107"/>
      <c r="AI461" s="107"/>
      <c r="AJ461" s="108">
        <v>3.22632</v>
      </c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7"/>
      <c r="AV461" s="107"/>
      <c r="AW461" s="107"/>
      <c r="AX461" s="107"/>
      <c r="AY461" s="106"/>
      <c r="AZ461" s="107"/>
      <c r="BA461" s="107"/>
      <c r="BB461" s="107"/>
      <c r="BC461" s="107">
        <v>14.48114</v>
      </c>
      <c r="BD461" s="107">
        <v>14.19994</v>
      </c>
      <c r="BE461" s="107"/>
      <c r="BF461" s="107"/>
      <c r="BG461" s="107"/>
      <c r="BH461" s="107"/>
      <c r="BI461" s="107"/>
      <c r="BJ461" s="107"/>
      <c r="BK461" s="107"/>
      <c r="BL461" s="107"/>
      <c r="BM461" s="107"/>
      <c r="BN461" s="107"/>
      <c r="BO461" s="107"/>
      <c r="BP461" s="107"/>
      <c r="BQ461" s="109"/>
      <c r="BR461" s="109"/>
      <c r="BS461" s="109"/>
      <c r="BT461" s="109"/>
      <c r="BU461" s="138"/>
    </row>
    <row r="462" spans="1:73" ht="38.25" customHeight="1" outlineLevel="2">
      <c r="A462" s="24" t="s">
        <v>1292</v>
      </c>
      <c r="B462" s="37" t="s">
        <v>908</v>
      </c>
      <c r="C462" s="20" t="s">
        <v>710</v>
      </c>
      <c r="D462" s="218" t="s">
        <v>837</v>
      </c>
      <c r="E462" s="220" t="s">
        <v>2266</v>
      </c>
      <c r="F462" s="108">
        <f t="shared" si="81"/>
        <v>51.2693</v>
      </c>
      <c r="G462" s="106">
        <f t="shared" si="79"/>
        <v>22.36739</v>
      </c>
      <c r="H462" s="106">
        <f t="shared" si="80"/>
        <v>28.90191</v>
      </c>
      <c r="I462" s="107"/>
      <c r="J462" s="107"/>
      <c r="K462" s="107"/>
      <c r="L462" s="107"/>
      <c r="M462" s="107"/>
      <c r="N462" s="107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7"/>
      <c r="Z462" s="107"/>
      <c r="AA462" s="106"/>
      <c r="AB462" s="106"/>
      <c r="AC462" s="107"/>
      <c r="AD462" s="107"/>
      <c r="AE462" s="107"/>
      <c r="AF462" s="107"/>
      <c r="AG462" s="107"/>
      <c r="AH462" s="107"/>
      <c r="AI462" s="107"/>
      <c r="AJ462" s="108">
        <v>6.96948</v>
      </c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7"/>
      <c r="AV462" s="107"/>
      <c r="AW462" s="107"/>
      <c r="AX462" s="107"/>
      <c r="AY462" s="106"/>
      <c r="AZ462" s="107"/>
      <c r="BA462" s="107"/>
      <c r="BB462" s="107"/>
      <c r="BC462" s="107">
        <v>22.36739</v>
      </c>
      <c r="BD462" s="107">
        <v>21.93243</v>
      </c>
      <c r="BE462" s="107"/>
      <c r="BF462" s="107"/>
      <c r="BG462" s="107"/>
      <c r="BH462" s="107"/>
      <c r="BI462" s="107"/>
      <c r="BJ462" s="107"/>
      <c r="BK462" s="107"/>
      <c r="BL462" s="107"/>
      <c r="BM462" s="107"/>
      <c r="BN462" s="107"/>
      <c r="BO462" s="107"/>
      <c r="BP462" s="107"/>
      <c r="BQ462" s="109"/>
      <c r="BR462" s="109"/>
      <c r="BS462" s="109"/>
      <c r="BT462" s="109"/>
      <c r="BU462" s="138"/>
    </row>
    <row r="463" spans="1:73" ht="38.25" customHeight="1" outlineLevel="2">
      <c r="A463" s="24" t="s">
        <v>1292</v>
      </c>
      <c r="B463" s="37" t="s">
        <v>907</v>
      </c>
      <c r="C463" s="20" t="s">
        <v>710</v>
      </c>
      <c r="D463" s="218" t="s">
        <v>460</v>
      </c>
      <c r="E463" s="220" t="s">
        <v>2267</v>
      </c>
      <c r="F463" s="108">
        <f t="shared" si="81"/>
        <v>133.88143000000002</v>
      </c>
      <c r="G463" s="106">
        <f t="shared" si="79"/>
        <v>56.97878</v>
      </c>
      <c r="H463" s="106">
        <f t="shared" si="80"/>
        <v>76.90265000000001</v>
      </c>
      <c r="I463" s="107"/>
      <c r="J463" s="107"/>
      <c r="K463" s="107"/>
      <c r="L463" s="107"/>
      <c r="M463" s="107"/>
      <c r="N463" s="107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7">
        <v>15.2</v>
      </c>
      <c r="Z463" s="107">
        <v>39.93</v>
      </c>
      <c r="AA463" s="159">
        <v>13.09744</v>
      </c>
      <c r="AB463" s="106">
        <v>5.94219</v>
      </c>
      <c r="AC463" s="107"/>
      <c r="AD463" s="107"/>
      <c r="AE463" s="107"/>
      <c r="AF463" s="107"/>
      <c r="AG463" s="107"/>
      <c r="AH463" s="107"/>
      <c r="AI463" s="107"/>
      <c r="AJ463" s="108">
        <v>2.90395</v>
      </c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7"/>
      <c r="AV463" s="107"/>
      <c r="AW463" s="107"/>
      <c r="AX463" s="107"/>
      <c r="AY463" s="106"/>
      <c r="AZ463" s="107"/>
      <c r="BA463" s="107"/>
      <c r="BB463" s="107"/>
      <c r="BC463" s="107">
        <v>28.68134</v>
      </c>
      <c r="BD463" s="107">
        <v>28.12651</v>
      </c>
      <c r="BE463" s="107"/>
      <c r="BF463" s="107"/>
      <c r="BG463" s="107"/>
      <c r="BH463" s="107"/>
      <c r="BI463" s="107"/>
      <c r="BJ463" s="107"/>
      <c r="BK463" s="107"/>
      <c r="BL463" s="107"/>
      <c r="BM463" s="107"/>
      <c r="BN463" s="107"/>
      <c r="BO463" s="107"/>
      <c r="BP463" s="107"/>
      <c r="BQ463" s="109"/>
      <c r="BR463" s="109"/>
      <c r="BS463" s="109"/>
      <c r="BT463" s="109"/>
      <c r="BU463" s="138"/>
    </row>
    <row r="464" spans="1:73" ht="38.25" customHeight="1" outlineLevel="2">
      <c r="A464" s="24" t="s">
        <v>1292</v>
      </c>
      <c r="B464" s="37" t="s">
        <v>905</v>
      </c>
      <c r="C464" s="20" t="s">
        <v>710</v>
      </c>
      <c r="D464" s="259">
        <v>245009803404</v>
      </c>
      <c r="E464" s="260" t="s">
        <v>2268</v>
      </c>
      <c r="F464" s="108">
        <f t="shared" si="81"/>
        <v>424.52344000000005</v>
      </c>
      <c r="G464" s="106">
        <f t="shared" si="79"/>
        <v>126.53029000000001</v>
      </c>
      <c r="H464" s="106">
        <f t="shared" si="80"/>
        <v>297.99315</v>
      </c>
      <c r="I464" s="107"/>
      <c r="J464" s="107"/>
      <c r="K464" s="107"/>
      <c r="L464" s="107"/>
      <c r="M464" s="107"/>
      <c r="N464" s="107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7"/>
      <c r="Z464" s="107"/>
      <c r="AA464" s="159">
        <v>52.78664</v>
      </c>
      <c r="AB464" s="106">
        <v>27.73023</v>
      </c>
      <c r="AC464" s="107"/>
      <c r="AD464" s="107"/>
      <c r="AE464" s="107"/>
      <c r="AF464" s="107"/>
      <c r="AG464" s="107"/>
      <c r="AH464" s="107"/>
      <c r="AI464" s="107"/>
      <c r="AJ464" s="108">
        <v>0</v>
      </c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7"/>
      <c r="AV464" s="107"/>
      <c r="AW464" s="107"/>
      <c r="AX464" s="107"/>
      <c r="AY464" s="106"/>
      <c r="AZ464" s="107"/>
      <c r="BA464" s="107">
        <f>85+112.94535</f>
        <v>197.94535000000002</v>
      </c>
      <c r="BB464" s="107"/>
      <c r="BC464" s="107">
        <v>73.74365</v>
      </c>
      <c r="BD464" s="107">
        <v>72.31757</v>
      </c>
      <c r="BE464" s="107"/>
      <c r="BF464" s="107"/>
      <c r="BG464" s="107"/>
      <c r="BH464" s="107"/>
      <c r="BI464" s="107"/>
      <c r="BJ464" s="107"/>
      <c r="BK464" s="107"/>
      <c r="BL464" s="107"/>
      <c r="BM464" s="107"/>
      <c r="BN464" s="107"/>
      <c r="BO464" s="107"/>
      <c r="BP464" s="107"/>
      <c r="BQ464" s="109"/>
      <c r="BR464" s="109"/>
      <c r="BS464" s="109"/>
      <c r="BT464" s="109"/>
      <c r="BU464" s="138"/>
    </row>
    <row r="465" spans="1:73" ht="38.25" customHeight="1" outlineLevel="2">
      <c r="A465" s="24" t="s">
        <v>1292</v>
      </c>
      <c r="B465" s="37" t="s">
        <v>1648</v>
      </c>
      <c r="C465" s="20" t="s">
        <v>710</v>
      </c>
      <c r="D465" s="261">
        <v>245002183335</v>
      </c>
      <c r="E465" s="262" t="s">
        <v>2269</v>
      </c>
      <c r="F465" s="108">
        <f t="shared" si="81"/>
        <v>10.649280000000001</v>
      </c>
      <c r="G465" s="106">
        <f t="shared" si="79"/>
        <v>6.11409</v>
      </c>
      <c r="H465" s="106">
        <f t="shared" si="80"/>
        <v>4.53519</v>
      </c>
      <c r="I465" s="107"/>
      <c r="J465" s="107"/>
      <c r="K465" s="107"/>
      <c r="L465" s="107"/>
      <c r="M465" s="107"/>
      <c r="N465" s="107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7"/>
      <c r="Z465" s="107"/>
      <c r="AA465" s="159">
        <v>3.71094</v>
      </c>
      <c r="AB465" s="106">
        <v>2.1788</v>
      </c>
      <c r="AC465" s="107"/>
      <c r="AD465" s="107"/>
      <c r="AE465" s="107"/>
      <c r="AF465" s="107"/>
      <c r="AG465" s="107"/>
      <c r="AH465" s="107"/>
      <c r="AI465" s="107"/>
      <c r="AJ465" s="108">
        <v>0</v>
      </c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7"/>
      <c r="AV465" s="107"/>
      <c r="AW465" s="107"/>
      <c r="AX465" s="107"/>
      <c r="AY465" s="106"/>
      <c r="AZ465" s="107"/>
      <c r="BA465" s="107"/>
      <c r="BB465" s="107"/>
      <c r="BC465" s="107">
        <v>2.40315</v>
      </c>
      <c r="BD465" s="107">
        <v>2.35639</v>
      </c>
      <c r="BE465" s="107"/>
      <c r="BF465" s="107"/>
      <c r="BG465" s="107"/>
      <c r="BH465" s="107"/>
      <c r="BI465" s="107"/>
      <c r="BJ465" s="107"/>
      <c r="BK465" s="107"/>
      <c r="BL465" s="107"/>
      <c r="BM465" s="107"/>
      <c r="BN465" s="107"/>
      <c r="BO465" s="107"/>
      <c r="BP465" s="107"/>
      <c r="BQ465" s="109"/>
      <c r="BR465" s="109"/>
      <c r="BS465" s="109"/>
      <c r="BT465" s="109"/>
      <c r="BU465" s="138"/>
    </row>
    <row r="466" spans="1:73" ht="35.25" customHeight="1" outlineLevel="2">
      <c r="A466" s="24" t="s">
        <v>1292</v>
      </c>
      <c r="B466" s="37" t="s">
        <v>67</v>
      </c>
      <c r="C466" s="20" t="s">
        <v>587</v>
      </c>
      <c r="D466" s="218" t="s">
        <v>68</v>
      </c>
      <c r="E466" s="203" t="s">
        <v>2270</v>
      </c>
      <c r="F466" s="108">
        <f t="shared" si="81"/>
        <v>760.4086199999999</v>
      </c>
      <c r="G466" s="106">
        <f t="shared" si="79"/>
        <v>402.87573999999995</v>
      </c>
      <c r="H466" s="106">
        <f t="shared" si="80"/>
        <v>357.53288000000003</v>
      </c>
      <c r="I466" s="107"/>
      <c r="J466" s="107"/>
      <c r="K466" s="107"/>
      <c r="L466" s="107"/>
      <c r="M466" s="107"/>
      <c r="N466" s="107"/>
      <c r="O466" s="106"/>
      <c r="P466" s="106"/>
      <c r="Q466" s="106"/>
      <c r="R466" s="106"/>
      <c r="S466" s="106"/>
      <c r="T466" s="106"/>
      <c r="U466" s="106"/>
      <c r="V466" s="106"/>
      <c r="W466" s="106">
        <v>146.04269</v>
      </c>
      <c r="X466" s="106">
        <v>76.24451</v>
      </c>
      <c r="Y466" s="107"/>
      <c r="Z466" s="107"/>
      <c r="AA466" s="159">
        <v>168.80809</v>
      </c>
      <c r="AB466" s="106">
        <v>104.97874</v>
      </c>
      <c r="AC466" s="107"/>
      <c r="AD466" s="107"/>
      <c r="AE466" s="107"/>
      <c r="AF466" s="107"/>
      <c r="AG466" s="107"/>
      <c r="AH466" s="107"/>
      <c r="AI466" s="107"/>
      <c r="AJ466" s="108">
        <v>54.82512</v>
      </c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7"/>
      <c r="AV466" s="107"/>
      <c r="AW466" s="107"/>
      <c r="AX466" s="107"/>
      <c r="AY466" s="106"/>
      <c r="AZ466" s="107"/>
      <c r="BA466" s="107">
        <v>35.17233</v>
      </c>
      <c r="BB466" s="107"/>
      <c r="BC466" s="107">
        <v>88.02496</v>
      </c>
      <c r="BD466" s="107">
        <v>86.31218</v>
      </c>
      <c r="BE466" s="107"/>
      <c r="BF466" s="107"/>
      <c r="BG466" s="107"/>
      <c r="BH466" s="107"/>
      <c r="BI466" s="107"/>
      <c r="BJ466" s="107"/>
      <c r="BK466" s="107"/>
      <c r="BL466" s="107"/>
      <c r="BM466" s="107"/>
      <c r="BN466" s="107"/>
      <c r="BO466" s="107"/>
      <c r="BP466" s="107"/>
      <c r="BQ466" s="109"/>
      <c r="BR466" s="109"/>
      <c r="BS466" s="109"/>
      <c r="BT466" s="109"/>
      <c r="BU466" s="138"/>
    </row>
    <row r="467" spans="1:73" ht="35.25" customHeight="1" outlineLevel="2">
      <c r="A467" s="24" t="s">
        <v>1292</v>
      </c>
      <c r="B467" s="37" t="s">
        <v>461</v>
      </c>
      <c r="C467" s="20" t="s">
        <v>587</v>
      </c>
      <c r="D467" s="218" t="s">
        <v>462</v>
      </c>
      <c r="E467" s="203" t="s">
        <v>2271</v>
      </c>
      <c r="F467" s="108">
        <f t="shared" si="81"/>
        <v>3307.5069200000003</v>
      </c>
      <c r="G467" s="106">
        <f t="shared" si="79"/>
        <v>775.98968</v>
      </c>
      <c r="H467" s="106">
        <f t="shared" si="80"/>
        <v>2531.51724</v>
      </c>
      <c r="I467" s="107"/>
      <c r="J467" s="107"/>
      <c r="K467" s="107">
        <v>274.02835</v>
      </c>
      <c r="L467" s="107">
        <v>137.01416</v>
      </c>
      <c r="M467" s="107">
        <v>15.72467</v>
      </c>
      <c r="N467" s="107"/>
      <c r="O467" s="106">
        <f>178.0426+34.02833</f>
        <v>212.07092999999998</v>
      </c>
      <c r="P467" s="106">
        <f>6.57726+17.01417</f>
        <v>23.59143</v>
      </c>
      <c r="Q467" s="106"/>
      <c r="R467" s="106"/>
      <c r="S467" s="106"/>
      <c r="T467" s="106"/>
      <c r="U467" s="106"/>
      <c r="V467" s="106"/>
      <c r="W467" s="106"/>
      <c r="X467" s="106"/>
      <c r="Y467" s="107">
        <v>30.4</v>
      </c>
      <c r="Z467" s="107">
        <v>79.86</v>
      </c>
      <c r="AA467" s="159">
        <v>131.70464</v>
      </c>
      <c r="AB467" s="106">
        <v>53.87588</v>
      </c>
      <c r="AC467" s="107"/>
      <c r="AD467" s="107"/>
      <c r="AE467" s="107"/>
      <c r="AF467" s="107"/>
      <c r="AG467" s="107"/>
      <c r="AH467" s="107"/>
      <c r="AI467" s="107"/>
      <c r="AJ467" s="108">
        <v>18.58528</v>
      </c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7"/>
      <c r="AV467" s="107"/>
      <c r="AW467" s="107"/>
      <c r="AX467" s="107"/>
      <c r="AY467" s="106"/>
      <c r="AZ467" s="107"/>
      <c r="BA467" s="107"/>
      <c r="BB467" s="107"/>
      <c r="BC467" s="107">
        <v>127.78576</v>
      </c>
      <c r="BD467" s="107">
        <v>125.3212</v>
      </c>
      <c r="BE467" s="107"/>
      <c r="BF467" s="107"/>
      <c r="BG467" s="107"/>
      <c r="BH467" s="107"/>
      <c r="BI467" s="107"/>
      <c r="BJ467" s="107">
        <v>2077.54462</v>
      </c>
      <c r="BK467" s="107"/>
      <c r="BL467" s="107"/>
      <c r="BM467" s="107"/>
      <c r="BN467" s="107"/>
      <c r="BO467" s="107"/>
      <c r="BP467" s="107"/>
      <c r="BQ467" s="109"/>
      <c r="BR467" s="109"/>
      <c r="BS467" s="109"/>
      <c r="BT467" s="109"/>
      <c r="BU467" s="138"/>
    </row>
    <row r="468" spans="1:73" ht="36" customHeight="1" outlineLevel="2">
      <c r="A468" s="24" t="s">
        <v>1292</v>
      </c>
      <c r="B468" s="37" t="s">
        <v>527</v>
      </c>
      <c r="C468" s="20" t="s">
        <v>587</v>
      </c>
      <c r="D468" s="218" t="s">
        <v>463</v>
      </c>
      <c r="E468" s="203" t="s">
        <v>2272</v>
      </c>
      <c r="F468" s="108">
        <f t="shared" si="81"/>
        <v>1658.66552</v>
      </c>
      <c r="G468" s="106">
        <f t="shared" si="79"/>
        <v>1030.77559</v>
      </c>
      <c r="H468" s="106">
        <f t="shared" si="80"/>
        <v>627.88993</v>
      </c>
      <c r="I468" s="107"/>
      <c r="J468" s="107"/>
      <c r="K468" s="107"/>
      <c r="L468" s="107"/>
      <c r="M468" s="107"/>
      <c r="N468" s="107"/>
      <c r="O468" s="106">
        <v>116.89341</v>
      </c>
      <c r="P468" s="106">
        <v>4.55307</v>
      </c>
      <c r="Q468" s="106"/>
      <c r="R468" s="106"/>
      <c r="S468" s="106"/>
      <c r="T468" s="106"/>
      <c r="U468" s="106"/>
      <c r="V468" s="106"/>
      <c r="W468" s="106"/>
      <c r="X468" s="106"/>
      <c r="Y468" s="107"/>
      <c r="Z468" s="107"/>
      <c r="AA468" s="159">
        <v>675.75825</v>
      </c>
      <c r="AB468" s="106">
        <v>254.52392</v>
      </c>
      <c r="AC468" s="107"/>
      <c r="AD468" s="107"/>
      <c r="AE468" s="107"/>
      <c r="AF468" s="107"/>
      <c r="AG468" s="107"/>
      <c r="AH468" s="107"/>
      <c r="AI468" s="107"/>
      <c r="AJ468" s="108">
        <v>0</v>
      </c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7"/>
      <c r="AV468" s="107"/>
      <c r="AW468" s="107"/>
      <c r="AX468" s="107"/>
      <c r="AY468" s="106"/>
      <c r="AZ468" s="107"/>
      <c r="BA468" s="107">
        <v>135.23965</v>
      </c>
      <c r="BB468" s="107"/>
      <c r="BC468" s="107">
        <v>238.12393</v>
      </c>
      <c r="BD468" s="107">
        <v>233.57329</v>
      </c>
      <c r="BE468" s="107"/>
      <c r="BF468" s="107"/>
      <c r="BG468" s="107"/>
      <c r="BH468" s="107"/>
      <c r="BI468" s="107"/>
      <c r="BJ468" s="107"/>
      <c r="BK468" s="107"/>
      <c r="BL468" s="107"/>
      <c r="BM468" s="107"/>
      <c r="BN468" s="107"/>
      <c r="BO468" s="107"/>
      <c r="BP468" s="107"/>
      <c r="BQ468" s="109"/>
      <c r="BR468" s="109"/>
      <c r="BS468" s="109"/>
      <c r="BT468" s="109"/>
      <c r="BU468" s="138"/>
    </row>
    <row r="469" spans="1:73" ht="30" customHeight="1" outlineLevel="2">
      <c r="A469" s="19" t="s">
        <v>1292</v>
      </c>
      <c r="B469" s="37" t="s">
        <v>866</v>
      </c>
      <c r="C469" s="20" t="s">
        <v>587</v>
      </c>
      <c r="D469" s="218" t="s">
        <v>958</v>
      </c>
      <c r="E469" s="203" t="s">
        <v>2273</v>
      </c>
      <c r="F469" s="108">
        <f t="shared" si="81"/>
        <v>176.8623</v>
      </c>
      <c r="G469" s="106">
        <f t="shared" si="79"/>
        <v>105.24207</v>
      </c>
      <c r="H469" s="106">
        <f t="shared" si="80"/>
        <v>71.62022999999999</v>
      </c>
      <c r="I469" s="107"/>
      <c r="J469" s="107"/>
      <c r="K469" s="107"/>
      <c r="L469" s="107"/>
      <c r="M469" s="107"/>
      <c r="N469" s="107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7"/>
      <c r="Z469" s="107"/>
      <c r="AA469" s="159">
        <v>62.51049</v>
      </c>
      <c r="AB469" s="106">
        <v>29.71096</v>
      </c>
      <c r="AC469" s="107"/>
      <c r="AD469" s="107"/>
      <c r="AE469" s="107"/>
      <c r="AF469" s="107"/>
      <c r="AG469" s="107"/>
      <c r="AH469" s="107"/>
      <c r="AI469" s="107"/>
      <c r="AJ469" s="108">
        <v>0</v>
      </c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7"/>
      <c r="AV469" s="107"/>
      <c r="AW469" s="107"/>
      <c r="AX469" s="107"/>
      <c r="AY469" s="106"/>
      <c r="AZ469" s="107"/>
      <c r="BA469" s="107"/>
      <c r="BB469" s="107"/>
      <c r="BC469" s="107">
        <v>42.73158</v>
      </c>
      <c r="BD469" s="107">
        <v>41.90927</v>
      </c>
      <c r="BE469" s="107"/>
      <c r="BF469" s="107"/>
      <c r="BG469" s="107"/>
      <c r="BH469" s="107"/>
      <c r="BI469" s="107"/>
      <c r="BJ469" s="107"/>
      <c r="BK469" s="107"/>
      <c r="BL469" s="107"/>
      <c r="BM469" s="107"/>
      <c r="BN469" s="107"/>
      <c r="BO469" s="107"/>
      <c r="BP469" s="107"/>
      <c r="BQ469" s="109"/>
      <c r="BR469" s="109"/>
      <c r="BS469" s="109"/>
      <c r="BT469" s="109"/>
      <c r="BU469" s="138"/>
    </row>
    <row r="470" spans="1:73" ht="31.5" customHeight="1" outlineLevel="2">
      <c r="A470" s="24" t="s">
        <v>1292</v>
      </c>
      <c r="B470" s="37" t="s">
        <v>889</v>
      </c>
      <c r="C470" s="20" t="s">
        <v>587</v>
      </c>
      <c r="D470" s="218" t="s">
        <v>957</v>
      </c>
      <c r="E470" s="203" t="s">
        <v>2274</v>
      </c>
      <c r="F470" s="108">
        <f t="shared" si="81"/>
        <v>759.7454</v>
      </c>
      <c r="G470" s="106">
        <f t="shared" si="79"/>
        <v>461.65781</v>
      </c>
      <c r="H470" s="106">
        <f t="shared" si="80"/>
        <v>298.08759</v>
      </c>
      <c r="I470" s="107"/>
      <c r="J470" s="107"/>
      <c r="K470" s="107"/>
      <c r="L470" s="107"/>
      <c r="M470" s="107"/>
      <c r="N470" s="107"/>
      <c r="O470" s="106">
        <v>72.08405</v>
      </c>
      <c r="P470" s="106">
        <v>3.31357</v>
      </c>
      <c r="Q470" s="106"/>
      <c r="R470" s="106"/>
      <c r="S470" s="106"/>
      <c r="T470" s="106"/>
      <c r="U470" s="106"/>
      <c r="V470" s="106"/>
      <c r="W470" s="106"/>
      <c r="X470" s="106"/>
      <c r="Y470" s="107"/>
      <c r="Z470" s="107"/>
      <c r="AA470" s="159">
        <v>229.20513</v>
      </c>
      <c r="AB470" s="106">
        <v>108.9402</v>
      </c>
      <c r="AC470" s="107"/>
      <c r="AD470" s="107"/>
      <c r="AE470" s="107"/>
      <c r="AF470" s="107"/>
      <c r="AG470" s="107"/>
      <c r="AH470" s="107"/>
      <c r="AI470" s="107"/>
      <c r="AJ470" s="108">
        <v>0</v>
      </c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7"/>
      <c r="AV470" s="107"/>
      <c r="AW470" s="107"/>
      <c r="AX470" s="107"/>
      <c r="AY470" s="106"/>
      <c r="AZ470" s="107"/>
      <c r="BA470" s="107">
        <v>28.56356</v>
      </c>
      <c r="BB470" s="107"/>
      <c r="BC470" s="107">
        <v>160.36863</v>
      </c>
      <c r="BD470" s="107">
        <v>157.27026</v>
      </c>
      <c r="BE470" s="107"/>
      <c r="BF470" s="107"/>
      <c r="BG470" s="107"/>
      <c r="BH470" s="107"/>
      <c r="BI470" s="107"/>
      <c r="BJ470" s="107"/>
      <c r="BK470" s="107"/>
      <c r="BL470" s="107"/>
      <c r="BM470" s="107"/>
      <c r="BN470" s="107"/>
      <c r="BO470" s="107"/>
      <c r="BP470" s="107"/>
      <c r="BQ470" s="109"/>
      <c r="BR470" s="109"/>
      <c r="BS470" s="109"/>
      <c r="BT470" s="109"/>
      <c r="BU470" s="138"/>
    </row>
    <row r="471" spans="1:73" ht="38.25" customHeight="1" outlineLevel="2">
      <c r="A471" s="35" t="s">
        <v>1292</v>
      </c>
      <c r="B471" s="37" t="s">
        <v>76</v>
      </c>
      <c r="C471" s="20" t="s">
        <v>587</v>
      </c>
      <c r="D471" s="218" t="s">
        <v>1325</v>
      </c>
      <c r="E471" s="203" t="s">
        <v>2275</v>
      </c>
      <c r="F471" s="108">
        <f t="shared" si="81"/>
        <v>745.40902</v>
      </c>
      <c r="G471" s="106">
        <f t="shared" si="79"/>
        <v>236.11908</v>
      </c>
      <c r="H471" s="106">
        <f t="shared" si="80"/>
        <v>509.28994000000006</v>
      </c>
      <c r="I471" s="107"/>
      <c r="J471" s="107"/>
      <c r="K471" s="107"/>
      <c r="L471" s="107"/>
      <c r="M471" s="107"/>
      <c r="N471" s="107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7"/>
      <c r="Z471" s="107"/>
      <c r="AA471" s="159">
        <v>145.85781</v>
      </c>
      <c r="AB471" s="106">
        <v>69.32558</v>
      </c>
      <c r="AC471" s="107"/>
      <c r="AD471" s="107"/>
      <c r="AE471" s="107"/>
      <c r="AF471" s="107"/>
      <c r="AG471" s="107">
        <v>13.593</v>
      </c>
      <c r="AH471" s="107"/>
      <c r="AI471" s="107"/>
      <c r="AJ471" s="108">
        <v>16.84291</v>
      </c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7"/>
      <c r="AV471" s="107"/>
      <c r="AW471" s="107"/>
      <c r="AX471" s="107"/>
      <c r="AY471" s="106">
        <v>25.37512</v>
      </c>
      <c r="AZ471" s="107">
        <v>58.5</v>
      </c>
      <c r="BA471" s="107">
        <f>131.35593+105.78068</f>
        <v>237.13661000000002</v>
      </c>
      <c r="BB471" s="107"/>
      <c r="BC471" s="107">
        <v>90.26127</v>
      </c>
      <c r="BD471" s="107">
        <v>88.51672</v>
      </c>
      <c r="BE471" s="107"/>
      <c r="BF471" s="107"/>
      <c r="BG471" s="107"/>
      <c r="BH471" s="107"/>
      <c r="BI471" s="107"/>
      <c r="BJ471" s="107"/>
      <c r="BK471" s="107"/>
      <c r="BL471" s="107"/>
      <c r="BM471" s="107"/>
      <c r="BN471" s="107"/>
      <c r="BO471" s="107"/>
      <c r="BP471" s="107"/>
      <c r="BQ471" s="109"/>
      <c r="BR471" s="109"/>
      <c r="BS471" s="109"/>
      <c r="BT471" s="109"/>
      <c r="BU471" s="138"/>
    </row>
    <row r="472" spans="1:73" ht="39" customHeight="1" outlineLevel="2" thickBot="1">
      <c r="A472" s="38" t="s">
        <v>1292</v>
      </c>
      <c r="B472" s="39" t="s">
        <v>1187</v>
      </c>
      <c r="C472" s="27" t="s">
        <v>934</v>
      </c>
      <c r="D472" s="219" t="s">
        <v>1014</v>
      </c>
      <c r="E472" s="203" t="s">
        <v>2276</v>
      </c>
      <c r="F472" s="108">
        <f t="shared" si="81"/>
        <v>1348.31103</v>
      </c>
      <c r="G472" s="106">
        <f t="shared" si="79"/>
        <v>0</v>
      </c>
      <c r="H472" s="106">
        <f t="shared" si="80"/>
        <v>1348.31103</v>
      </c>
      <c r="I472" s="113"/>
      <c r="J472" s="113"/>
      <c r="K472" s="113"/>
      <c r="L472" s="113"/>
      <c r="M472" s="113"/>
      <c r="N472" s="113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3"/>
      <c r="Z472" s="113"/>
      <c r="AA472" s="114"/>
      <c r="AB472" s="114"/>
      <c r="AC472" s="113"/>
      <c r="AD472" s="113"/>
      <c r="AE472" s="113"/>
      <c r="AF472" s="113"/>
      <c r="AG472" s="113"/>
      <c r="AH472" s="113"/>
      <c r="AI472" s="113"/>
      <c r="AJ472" s="108">
        <v>0</v>
      </c>
      <c r="AK472" s="113"/>
      <c r="AL472" s="113"/>
      <c r="AM472" s="113"/>
      <c r="AN472" s="113"/>
      <c r="AO472" s="113"/>
      <c r="AP472" s="113"/>
      <c r="AQ472" s="113"/>
      <c r="AR472" s="113"/>
      <c r="AS472" s="113"/>
      <c r="AT472" s="113"/>
      <c r="AU472" s="113"/>
      <c r="AV472" s="113"/>
      <c r="AW472" s="113"/>
      <c r="AX472" s="113"/>
      <c r="AY472" s="114"/>
      <c r="AZ472" s="113"/>
      <c r="BA472" s="113"/>
      <c r="BB472" s="113"/>
      <c r="BC472" s="113"/>
      <c r="BD472" s="113"/>
      <c r="BE472" s="113"/>
      <c r="BF472" s="113"/>
      <c r="BG472" s="113"/>
      <c r="BH472" s="113"/>
      <c r="BI472" s="113"/>
      <c r="BJ472" s="113"/>
      <c r="BK472" s="113"/>
      <c r="BL472" s="113"/>
      <c r="BM472" s="113"/>
      <c r="BN472" s="113">
        <v>1348.31103</v>
      </c>
      <c r="BO472" s="113"/>
      <c r="BP472" s="113"/>
      <c r="BQ472" s="115"/>
      <c r="BR472" s="115"/>
      <c r="BS472" s="115"/>
      <c r="BT472" s="115"/>
      <c r="BU472" s="139"/>
    </row>
    <row r="473" spans="1:73" s="32" customFormat="1" ht="21" outlineLevel="1" thickBot="1">
      <c r="A473" s="40" t="s">
        <v>1015</v>
      </c>
      <c r="B473" s="41"/>
      <c r="C473" s="30" t="s">
        <v>1572</v>
      </c>
      <c r="D473" s="222"/>
      <c r="E473" s="223"/>
      <c r="F473" s="116">
        <f aca="true" t="shared" si="82" ref="F473:AV473">SUBTOTAL(9,F436:F472)</f>
        <v>227287.02640000006</v>
      </c>
      <c r="G473" s="116">
        <f t="shared" si="82"/>
        <v>96456.00906000001</v>
      </c>
      <c r="H473" s="116">
        <f t="shared" si="82"/>
        <v>130831.01733999995</v>
      </c>
      <c r="I473" s="116">
        <f t="shared" si="82"/>
        <v>200.97232</v>
      </c>
      <c r="J473" s="116">
        <f t="shared" si="82"/>
        <v>42.74036</v>
      </c>
      <c r="K473" s="116">
        <f t="shared" si="82"/>
        <v>10526.26984</v>
      </c>
      <c r="L473" s="116">
        <f t="shared" si="82"/>
        <v>1984.3829399999997</v>
      </c>
      <c r="M473" s="116">
        <f t="shared" si="82"/>
        <v>596.8050199999999</v>
      </c>
      <c r="N473" s="116">
        <f t="shared" si="82"/>
        <v>0</v>
      </c>
      <c r="O473" s="116">
        <f t="shared" si="82"/>
        <v>401.04839</v>
      </c>
      <c r="P473" s="116">
        <f t="shared" si="82"/>
        <v>31.45807</v>
      </c>
      <c r="Q473" s="116">
        <f t="shared" si="82"/>
        <v>1044.50719</v>
      </c>
      <c r="R473" s="116">
        <f t="shared" si="82"/>
        <v>0</v>
      </c>
      <c r="S473" s="116">
        <f t="shared" si="82"/>
        <v>3392.6470600000002</v>
      </c>
      <c r="T473" s="116">
        <f t="shared" si="82"/>
        <v>921.2288599999999</v>
      </c>
      <c r="U473" s="116">
        <f t="shared" si="82"/>
        <v>0</v>
      </c>
      <c r="V473" s="116">
        <f t="shared" si="82"/>
        <v>0</v>
      </c>
      <c r="W473" s="116">
        <f t="shared" si="82"/>
        <v>4172.14093</v>
      </c>
      <c r="X473" s="116">
        <f t="shared" si="82"/>
        <v>2178.14966</v>
      </c>
      <c r="Y473" s="116">
        <f t="shared" si="82"/>
        <v>707.5074699999999</v>
      </c>
      <c r="Z473" s="116">
        <f t="shared" si="82"/>
        <v>2011.48461</v>
      </c>
      <c r="AA473" s="116">
        <f t="shared" si="82"/>
        <v>8399.322409999999</v>
      </c>
      <c r="AB473" s="116">
        <f t="shared" si="82"/>
        <v>4137.548760000001</v>
      </c>
      <c r="AC473" s="116">
        <f t="shared" si="82"/>
        <v>0</v>
      </c>
      <c r="AD473" s="116">
        <f t="shared" si="82"/>
        <v>0</v>
      </c>
      <c r="AE473" s="116">
        <f t="shared" si="82"/>
        <v>0</v>
      </c>
      <c r="AF473" s="116">
        <f t="shared" si="82"/>
        <v>0</v>
      </c>
      <c r="AG473" s="116">
        <f t="shared" si="82"/>
        <v>2694.6054</v>
      </c>
      <c r="AH473" s="116">
        <f t="shared" si="82"/>
        <v>0</v>
      </c>
      <c r="AI473" s="116">
        <f t="shared" si="82"/>
        <v>0</v>
      </c>
      <c r="AJ473" s="116">
        <f>SUBTOTAL(9,AJ436:AJ472)</f>
        <v>5690.197219999999</v>
      </c>
      <c r="AK473" s="116">
        <f t="shared" si="82"/>
        <v>803.1278000000001</v>
      </c>
      <c r="AL473" s="116">
        <f t="shared" si="82"/>
        <v>0</v>
      </c>
      <c r="AM473" s="116">
        <f t="shared" si="82"/>
        <v>0</v>
      </c>
      <c r="AN473" s="116">
        <f t="shared" si="82"/>
        <v>813.625</v>
      </c>
      <c r="AO473" s="116">
        <f t="shared" si="82"/>
        <v>20908.359800000002</v>
      </c>
      <c r="AP473" s="116">
        <f t="shared" si="82"/>
        <v>5013.84</v>
      </c>
      <c r="AQ473" s="116">
        <f t="shared" si="82"/>
        <v>0</v>
      </c>
      <c r="AR473" s="116">
        <f t="shared" si="82"/>
        <v>0</v>
      </c>
      <c r="AS473" s="116">
        <f t="shared" si="82"/>
        <v>0</v>
      </c>
      <c r="AT473" s="116">
        <f t="shared" si="82"/>
        <v>0</v>
      </c>
      <c r="AU473" s="116">
        <f t="shared" si="82"/>
        <v>0</v>
      </c>
      <c r="AV473" s="116">
        <f t="shared" si="82"/>
        <v>0</v>
      </c>
      <c r="AW473" s="116">
        <f aca="true" t="shared" si="83" ref="AW473:BU473">SUBTOTAL(9,AW436:AW472)</f>
        <v>0</v>
      </c>
      <c r="AX473" s="116">
        <f t="shared" si="83"/>
        <v>21177.55355</v>
      </c>
      <c r="AY473" s="116">
        <f t="shared" si="83"/>
        <v>18187.34897</v>
      </c>
      <c r="AZ473" s="116">
        <f t="shared" si="83"/>
        <v>58.5</v>
      </c>
      <c r="BA473" s="116">
        <f t="shared" si="83"/>
        <v>19169.07803</v>
      </c>
      <c r="BB473" s="116">
        <f t="shared" si="83"/>
        <v>0</v>
      </c>
      <c r="BC473" s="116">
        <f t="shared" si="83"/>
        <v>26570.187289999994</v>
      </c>
      <c r="BD473" s="116">
        <f t="shared" si="83"/>
        <v>26056.70589000001</v>
      </c>
      <c r="BE473" s="116">
        <f t="shared" si="83"/>
        <v>623.30057</v>
      </c>
      <c r="BF473" s="116">
        <f t="shared" si="83"/>
        <v>0</v>
      </c>
      <c r="BG473" s="116">
        <f t="shared" si="83"/>
        <v>0</v>
      </c>
      <c r="BH473" s="116">
        <f t="shared" si="83"/>
        <v>0</v>
      </c>
      <c r="BI473" s="116">
        <f t="shared" si="83"/>
        <v>0</v>
      </c>
      <c r="BJ473" s="116">
        <f t="shared" si="83"/>
        <v>35186.95353</v>
      </c>
      <c r="BK473" s="116"/>
      <c r="BL473" s="116">
        <f t="shared" si="83"/>
        <v>0</v>
      </c>
      <c r="BM473" s="116">
        <f t="shared" si="83"/>
        <v>2237.1184299999995</v>
      </c>
      <c r="BN473" s="116">
        <f t="shared" si="83"/>
        <v>1348.31103</v>
      </c>
      <c r="BO473" s="116">
        <f t="shared" si="83"/>
        <v>0</v>
      </c>
      <c r="BP473" s="116">
        <f t="shared" si="83"/>
        <v>0</v>
      </c>
      <c r="BQ473" s="116">
        <f t="shared" si="83"/>
        <v>0</v>
      </c>
      <c r="BR473" s="116">
        <f t="shared" si="83"/>
        <v>0</v>
      </c>
      <c r="BS473" s="116">
        <f t="shared" si="83"/>
        <v>0</v>
      </c>
      <c r="BT473" s="116">
        <f t="shared" si="83"/>
        <v>0</v>
      </c>
      <c r="BU473" s="116">
        <f t="shared" si="83"/>
        <v>0</v>
      </c>
    </row>
    <row r="474" spans="1:73" ht="33.75" customHeight="1" outlineLevel="2">
      <c r="A474" s="35" t="s">
        <v>1016</v>
      </c>
      <c r="B474" s="37" t="s">
        <v>1717</v>
      </c>
      <c r="C474" s="20" t="s">
        <v>1496</v>
      </c>
      <c r="D474" s="218" t="s">
        <v>84</v>
      </c>
      <c r="E474" s="203" t="s">
        <v>2278</v>
      </c>
      <c r="F474" s="108">
        <f t="shared" si="81"/>
        <v>2566.71227</v>
      </c>
      <c r="G474" s="106">
        <f>I474+K474+O474+S474+U474+W474+Y474+AA474+AC474+AE474+AR474+AX474+BC474+BG474+BP474+BR474+BT474+AO474</f>
        <v>1358.06097</v>
      </c>
      <c r="H474" s="106">
        <f>J474+L474+M474+N474+P474+Q474+R474+T474+V474+X474+Z474+AB474+AD474+AF474+AG474+AJ474+AL474+AS474+AT474+AU474+AV474+AW474+AY474+AZ474+BA474+BB474+BD474+BE474+BF474+BH474+BI474+BJ474+BL474+BM474+BN474+BO474+BQ474+BS474+BU474+AH474+AI474+AK474+AM474+AN474+AP474+AQ474+BK474</f>
        <v>1208.6513</v>
      </c>
      <c r="I474" s="107">
        <v>44.23981</v>
      </c>
      <c r="J474" s="107">
        <v>11.87065</v>
      </c>
      <c r="K474" s="107">
        <v>455.05002</v>
      </c>
      <c r="L474" s="107">
        <v>74.85884</v>
      </c>
      <c r="M474" s="107"/>
      <c r="N474" s="107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7">
        <v>22.8</v>
      </c>
      <c r="Z474" s="107">
        <v>59.895</v>
      </c>
      <c r="AA474" s="159">
        <v>177.3631</v>
      </c>
      <c r="AB474" s="106">
        <v>95.07508</v>
      </c>
      <c r="AC474" s="107"/>
      <c r="AD474" s="107"/>
      <c r="AE474" s="107"/>
      <c r="AF474" s="107"/>
      <c r="AG474" s="107">
        <v>126.2376</v>
      </c>
      <c r="AH474" s="107"/>
      <c r="AI474" s="107"/>
      <c r="AJ474" s="108">
        <v>80.62451999999999</v>
      </c>
      <c r="AK474" s="107">
        <v>8.1526</v>
      </c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7"/>
      <c r="AV474" s="107"/>
      <c r="AW474" s="107"/>
      <c r="AX474" s="107"/>
      <c r="AY474" s="106">
        <v>106.07056</v>
      </c>
      <c r="AZ474" s="107"/>
      <c r="BA474" s="107"/>
      <c r="BB474" s="107"/>
      <c r="BC474" s="107">
        <v>658.60804</v>
      </c>
      <c r="BD474" s="107">
        <v>645.86645</v>
      </c>
      <c r="BE474" s="107"/>
      <c r="BF474" s="107"/>
      <c r="BG474" s="107"/>
      <c r="BH474" s="107"/>
      <c r="BI474" s="107"/>
      <c r="BJ474" s="107"/>
      <c r="BK474" s="107"/>
      <c r="BL474" s="107"/>
      <c r="BM474" s="107"/>
      <c r="BN474" s="107"/>
      <c r="BO474" s="107"/>
      <c r="BP474" s="107"/>
      <c r="BQ474" s="109"/>
      <c r="BR474" s="109"/>
      <c r="BS474" s="109"/>
      <c r="BT474" s="109"/>
      <c r="BU474" s="138"/>
    </row>
    <row r="475" spans="1:73" ht="30.75" customHeight="1" outlineLevel="2">
      <c r="A475" s="35" t="s">
        <v>1016</v>
      </c>
      <c r="B475" s="37" t="s">
        <v>942</v>
      </c>
      <c r="C475" s="20" t="s">
        <v>1496</v>
      </c>
      <c r="D475" s="218" t="s">
        <v>943</v>
      </c>
      <c r="E475" s="203" t="s">
        <v>2277</v>
      </c>
      <c r="F475" s="108">
        <f t="shared" si="81"/>
        <v>2235.72098</v>
      </c>
      <c r="G475" s="106">
        <f aca="true" t="shared" si="84" ref="G475:G498">I475+K475+O475+S475+U475+W475+Y475+AA475+AC475+AE475+AR475+AX475+BC475+BG475+BP475+BR475+BT475+AO475</f>
        <v>1079.06215</v>
      </c>
      <c r="H475" s="106">
        <f aca="true" t="shared" si="85" ref="H475:H498">J475+L475+M475+N475+P475+Q475+R475+T475+V475+X475+Z475+AB475+AD475+AF475+AG475+AJ475+AL475+AS475+AT475+AU475+AV475+AW475+AY475+AZ475+BA475+BB475+BD475+BE475+BF475+BH475+BI475+BJ475+BL475+BM475+BN475+BO475+BQ475+BS475+BU475+AH475+AI475+AK475+AM475+AN475+AP475+AQ475+BK475</f>
        <v>1156.65883</v>
      </c>
      <c r="I475" s="107"/>
      <c r="J475" s="107"/>
      <c r="K475" s="107">
        <v>15.15347</v>
      </c>
      <c r="L475" s="107"/>
      <c r="M475" s="107"/>
      <c r="N475" s="107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7">
        <v>31.92</v>
      </c>
      <c r="Z475" s="107">
        <v>83.853</v>
      </c>
      <c r="AA475" s="159">
        <v>320.10134</v>
      </c>
      <c r="AB475" s="106">
        <v>154.49701</v>
      </c>
      <c r="AC475" s="107"/>
      <c r="AD475" s="107"/>
      <c r="AE475" s="107"/>
      <c r="AF475" s="107"/>
      <c r="AG475" s="107"/>
      <c r="AH475" s="107"/>
      <c r="AI475" s="107"/>
      <c r="AJ475" s="108">
        <v>157.485</v>
      </c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7"/>
      <c r="AV475" s="107"/>
      <c r="AW475" s="107"/>
      <c r="AX475" s="107"/>
      <c r="AY475" s="106"/>
      <c r="AZ475" s="107"/>
      <c r="BA475" s="107"/>
      <c r="BB475" s="107"/>
      <c r="BC475" s="107">
        <v>711.88734</v>
      </c>
      <c r="BD475" s="107">
        <v>698.12382</v>
      </c>
      <c r="BE475" s="107">
        <v>62.7</v>
      </c>
      <c r="BF475" s="107"/>
      <c r="BG475" s="107"/>
      <c r="BH475" s="107"/>
      <c r="BI475" s="107"/>
      <c r="BJ475" s="107"/>
      <c r="BK475" s="107"/>
      <c r="BL475" s="107"/>
      <c r="BM475" s="107"/>
      <c r="BN475" s="107"/>
      <c r="BO475" s="107"/>
      <c r="BP475" s="107"/>
      <c r="BQ475" s="109"/>
      <c r="BR475" s="109"/>
      <c r="BS475" s="109"/>
      <c r="BT475" s="109"/>
      <c r="BU475" s="138"/>
    </row>
    <row r="476" spans="1:73" ht="36" customHeight="1" outlineLevel="2">
      <c r="A476" s="35" t="s">
        <v>1016</v>
      </c>
      <c r="B476" s="37" t="s">
        <v>1553</v>
      </c>
      <c r="C476" s="20" t="s">
        <v>1496</v>
      </c>
      <c r="D476" s="218" t="s">
        <v>991</v>
      </c>
      <c r="E476" s="203" t="s">
        <v>2799</v>
      </c>
      <c r="F476" s="108">
        <f t="shared" si="81"/>
        <v>3709.54907</v>
      </c>
      <c r="G476" s="106">
        <f t="shared" si="84"/>
        <v>890.60723</v>
      </c>
      <c r="H476" s="106">
        <f t="shared" si="85"/>
        <v>2818.94184</v>
      </c>
      <c r="I476" s="107"/>
      <c r="J476" s="107">
        <v>47.5073</v>
      </c>
      <c r="K476" s="107">
        <v>98.44384</v>
      </c>
      <c r="L476" s="107">
        <v>14.06497</v>
      </c>
      <c r="M476" s="107"/>
      <c r="N476" s="107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7">
        <v>30.4</v>
      </c>
      <c r="Z476" s="107">
        <v>79.86</v>
      </c>
      <c r="AA476" s="159">
        <v>188.60308</v>
      </c>
      <c r="AB476" s="106">
        <v>98.04618</v>
      </c>
      <c r="AC476" s="107"/>
      <c r="AD476" s="107"/>
      <c r="AE476" s="107"/>
      <c r="AF476" s="107"/>
      <c r="AG476" s="107"/>
      <c r="AH476" s="107"/>
      <c r="AI476" s="107"/>
      <c r="AJ476" s="108">
        <v>185.973</v>
      </c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7"/>
      <c r="AV476" s="107"/>
      <c r="AW476" s="107"/>
      <c r="AX476" s="107"/>
      <c r="AY476" s="106"/>
      <c r="AZ476" s="107"/>
      <c r="BA476" s="107"/>
      <c r="BB476" s="107"/>
      <c r="BC476" s="107">
        <v>573.16031</v>
      </c>
      <c r="BD476" s="107">
        <v>562.08772</v>
      </c>
      <c r="BE476" s="107">
        <v>157.759</v>
      </c>
      <c r="BF476" s="107"/>
      <c r="BG476" s="107"/>
      <c r="BH476" s="107"/>
      <c r="BI476" s="107"/>
      <c r="BJ476" s="107">
        <v>1575.93097</v>
      </c>
      <c r="BK476" s="107"/>
      <c r="BL476" s="107"/>
      <c r="BM476" s="113">
        <v>97.7127</v>
      </c>
      <c r="BN476" s="113"/>
      <c r="BO476" s="113"/>
      <c r="BP476" s="113"/>
      <c r="BQ476" s="115"/>
      <c r="BR476" s="115"/>
      <c r="BS476" s="115"/>
      <c r="BT476" s="115"/>
      <c r="BU476" s="139"/>
    </row>
    <row r="477" spans="1:73" ht="39.75" customHeight="1" outlineLevel="2">
      <c r="A477" s="24" t="s">
        <v>1016</v>
      </c>
      <c r="B477" s="19" t="s">
        <v>914</v>
      </c>
      <c r="C477" s="20" t="s">
        <v>587</v>
      </c>
      <c r="D477" s="218" t="s">
        <v>1501</v>
      </c>
      <c r="E477" s="220" t="s">
        <v>2279</v>
      </c>
      <c r="F477" s="108">
        <f t="shared" si="81"/>
        <v>272.5329</v>
      </c>
      <c r="G477" s="106">
        <f t="shared" si="84"/>
        <v>94.24190999999999</v>
      </c>
      <c r="H477" s="106">
        <f t="shared" si="85"/>
        <v>178.29099</v>
      </c>
      <c r="I477" s="107"/>
      <c r="J477" s="107"/>
      <c r="K477" s="107"/>
      <c r="L477" s="107"/>
      <c r="M477" s="107"/>
      <c r="N477" s="107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7"/>
      <c r="Z477" s="107"/>
      <c r="AA477" s="159">
        <v>22.50378</v>
      </c>
      <c r="AB477" s="106">
        <v>11.88439</v>
      </c>
      <c r="AC477" s="107"/>
      <c r="AD477" s="107"/>
      <c r="AE477" s="107"/>
      <c r="AF477" s="107"/>
      <c r="AG477" s="107"/>
      <c r="AH477" s="107"/>
      <c r="AI477" s="107"/>
      <c r="AJ477" s="108">
        <v>15.4072</v>
      </c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7"/>
      <c r="AV477" s="107"/>
      <c r="AW477" s="107"/>
      <c r="AX477" s="107"/>
      <c r="AY477" s="106"/>
      <c r="AZ477" s="107">
        <v>80.649</v>
      </c>
      <c r="BA477" s="107"/>
      <c r="BB477" s="107"/>
      <c r="BC477" s="107">
        <v>71.73813</v>
      </c>
      <c r="BD477" s="107">
        <v>70.3504</v>
      </c>
      <c r="BE477" s="107"/>
      <c r="BF477" s="107"/>
      <c r="BG477" s="107"/>
      <c r="BH477" s="107"/>
      <c r="BI477" s="107"/>
      <c r="BJ477" s="107"/>
      <c r="BK477" s="107"/>
      <c r="BL477" s="107"/>
      <c r="BM477" s="107"/>
      <c r="BN477" s="107"/>
      <c r="BO477" s="107"/>
      <c r="BP477" s="107"/>
      <c r="BQ477" s="109"/>
      <c r="BR477" s="109"/>
      <c r="BS477" s="109"/>
      <c r="BT477" s="109"/>
      <c r="BU477" s="138"/>
    </row>
    <row r="478" spans="1:73" ht="39.75" customHeight="1" outlineLevel="2">
      <c r="A478" s="24" t="s">
        <v>1016</v>
      </c>
      <c r="B478" s="19" t="s">
        <v>1819</v>
      </c>
      <c r="C478" s="20" t="s">
        <v>587</v>
      </c>
      <c r="D478" s="218" t="s">
        <v>1820</v>
      </c>
      <c r="E478" s="220" t="s">
        <v>2280</v>
      </c>
      <c r="F478" s="108">
        <f t="shared" si="81"/>
        <v>267.4223</v>
      </c>
      <c r="G478" s="106">
        <f t="shared" si="84"/>
        <v>0</v>
      </c>
      <c r="H478" s="106">
        <f t="shared" si="85"/>
        <v>267.4223</v>
      </c>
      <c r="I478" s="107"/>
      <c r="J478" s="107"/>
      <c r="K478" s="107"/>
      <c r="L478" s="107"/>
      <c r="M478" s="107"/>
      <c r="N478" s="107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7"/>
      <c r="Z478" s="107"/>
      <c r="AA478" s="159"/>
      <c r="AB478" s="106"/>
      <c r="AC478" s="107"/>
      <c r="AD478" s="107"/>
      <c r="AE478" s="107"/>
      <c r="AF478" s="107"/>
      <c r="AG478" s="107"/>
      <c r="AH478" s="107"/>
      <c r="AI478" s="107"/>
      <c r="AJ478" s="108">
        <v>0</v>
      </c>
      <c r="AK478" s="107"/>
      <c r="AL478" s="107"/>
      <c r="AM478" s="107"/>
      <c r="AN478" s="107">
        <v>267.4223</v>
      </c>
      <c r="AO478" s="107"/>
      <c r="AP478" s="107"/>
      <c r="AQ478" s="107"/>
      <c r="AR478" s="107"/>
      <c r="AS478" s="107"/>
      <c r="AT478" s="107"/>
      <c r="AU478" s="107"/>
      <c r="AV478" s="107"/>
      <c r="AW478" s="107"/>
      <c r="AX478" s="107"/>
      <c r="AY478" s="106"/>
      <c r="AZ478" s="107"/>
      <c r="BA478" s="107"/>
      <c r="BB478" s="107"/>
      <c r="BC478" s="107"/>
      <c r="BD478" s="107"/>
      <c r="BE478" s="107"/>
      <c r="BF478" s="107"/>
      <c r="BG478" s="107"/>
      <c r="BH478" s="107"/>
      <c r="BI478" s="107"/>
      <c r="BJ478" s="107"/>
      <c r="BK478" s="107"/>
      <c r="BL478" s="107"/>
      <c r="BM478" s="107"/>
      <c r="BN478" s="107"/>
      <c r="BO478" s="107"/>
      <c r="BP478" s="107"/>
      <c r="BQ478" s="109"/>
      <c r="BR478" s="109"/>
      <c r="BS478" s="109"/>
      <c r="BT478" s="109"/>
      <c r="BU478" s="138"/>
    </row>
    <row r="479" spans="1:73" ht="39.75" customHeight="1" outlineLevel="2">
      <c r="A479" s="24" t="s">
        <v>1016</v>
      </c>
      <c r="B479" s="19" t="s">
        <v>1362</v>
      </c>
      <c r="C479" s="20" t="s">
        <v>587</v>
      </c>
      <c r="D479" s="218" t="s">
        <v>854</v>
      </c>
      <c r="E479" s="220" t="s">
        <v>2281</v>
      </c>
      <c r="F479" s="108">
        <f t="shared" si="81"/>
        <v>1287.73283</v>
      </c>
      <c r="G479" s="106">
        <f t="shared" si="84"/>
        <v>654.93551</v>
      </c>
      <c r="H479" s="106">
        <f t="shared" si="85"/>
        <v>632.79732</v>
      </c>
      <c r="I479" s="107"/>
      <c r="J479" s="107"/>
      <c r="K479" s="107"/>
      <c r="L479" s="107"/>
      <c r="M479" s="107"/>
      <c r="N479" s="107"/>
      <c r="O479" s="106">
        <v>85.8699</v>
      </c>
      <c r="P479" s="106">
        <v>3.76417</v>
      </c>
      <c r="Q479" s="106"/>
      <c r="R479" s="106"/>
      <c r="S479" s="106"/>
      <c r="T479" s="106"/>
      <c r="U479" s="106"/>
      <c r="V479" s="106"/>
      <c r="W479" s="106"/>
      <c r="X479" s="106"/>
      <c r="Y479" s="107"/>
      <c r="Z479" s="107"/>
      <c r="AA479" s="159">
        <v>146.88179</v>
      </c>
      <c r="AB479" s="106">
        <v>71.30631</v>
      </c>
      <c r="AC479" s="107"/>
      <c r="AD479" s="107"/>
      <c r="AE479" s="107"/>
      <c r="AF479" s="107"/>
      <c r="AG479" s="107"/>
      <c r="AH479" s="107"/>
      <c r="AI479" s="107"/>
      <c r="AJ479" s="108">
        <v>143.69096</v>
      </c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7"/>
      <c r="AV479" s="107"/>
      <c r="AW479" s="107"/>
      <c r="AX479" s="107"/>
      <c r="AY479" s="106"/>
      <c r="AZ479" s="107"/>
      <c r="BA479" s="107"/>
      <c r="BB479" s="107"/>
      <c r="BC479" s="107">
        <v>422.18382</v>
      </c>
      <c r="BD479" s="107">
        <v>414.03588</v>
      </c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  <c r="BP479" s="107"/>
      <c r="BQ479" s="109"/>
      <c r="BR479" s="109"/>
      <c r="BS479" s="109"/>
      <c r="BT479" s="109"/>
      <c r="BU479" s="138"/>
    </row>
    <row r="480" spans="1:73" ht="39.75" customHeight="1" outlineLevel="2">
      <c r="A480" s="24" t="s">
        <v>1016</v>
      </c>
      <c r="B480" s="19" t="s">
        <v>979</v>
      </c>
      <c r="C480" s="20" t="s">
        <v>587</v>
      </c>
      <c r="D480" s="218" t="s">
        <v>2283</v>
      </c>
      <c r="E480" s="220" t="s">
        <v>2282</v>
      </c>
      <c r="F480" s="108">
        <f t="shared" si="81"/>
        <v>119.24813</v>
      </c>
      <c r="G480" s="106">
        <f t="shared" si="84"/>
        <v>64.37423</v>
      </c>
      <c r="H480" s="106">
        <f t="shared" si="85"/>
        <v>54.8739</v>
      </c>
      <c r="I480" s="107"/>
      <c r="J480" s="107"/>
      <c r="K480" s="107"/>
      <c r="L480" s="107"/>
      <c r="M480" s="107"/>
      <c r="N480" s="107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7"/>
      <c r="Z480" s="107"/>
      <c r="AA480" s="106">
        <v>24.57555</v>
      </c>
      <c r="AB480" s="106">
        <v>15.84585</v>
      </c>
      <c r="AC480" s="107"/>
      <c r="AD480" s="107"/>
      <c r="AE480" s="107"/>
      <c r="AF480" s="107"/>
      <c r="AG480" s="107"/>
      <c r="AH480" s="107"/>
      <c r="AI480" s="107"/>
      <c r="AJ480" s="108">
        <v>0</v>
      </c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7"/>
      <c r="AV480" s="107"/>
      <c r="AW480" s="107"/>
      <c r="AX480" s="107"/>
      <c r="AY480" s="106"/>
      <c r="AZ480" s="107"/>
      <c r="BA480" s="107"/>
      <c r="BB480" s="107"/>
      <c r="BC480" s="107">
        <v>39.79868</v>
      </c>
      <c r="BD480" s="107">
        <v>39.02805</v>
      </c>
      <c r="BE480" s="107"/>
      <c r="BF480" s="107"/>
      <c r="BG480" s="107"/>
      <c r="BH480" s="107"/>
      <c r="BI480" s="107"/>
      <c r="BJ480" s="107"/>
      <c r="BK480" s="107"/>
      <c r="BL480" s="107"/>
      <c r="BM480" s="107"/>
      <c r="BN480" s="107"/>
      <c r="BO480" s="107"/>
      <c r="BP480" s="107"/>
      <c r="BQ480" s="109"/>
      <c r="BR480" s="109"/>
      <c r="BS480" s="109"/>
      <c r="BT480" s="109"/>
      <c r="BU480" s="138"/>
    </row>
    <row r="481" spans="1:73" ht="39.75" customHeight="1" outlineLevel="2">
      <c r="A481" s="24" t="s">
        <v>1016</v>
      </c>
      <c r="B481" s="19" t="s">
        <v>911</v>
      </c>
      <c r="C481" s="20" t="s">
        <v>587</v>
      </c>
      <c r="D481" s="218" t="s">
        <v>1697</v>
      </c>
      <c r="E481" s="220" t="s">
        <v>2284</v>
      </c>
      <c r="F481" s="108">
        <f t="shared" si="81"/>
        <v>244.68229000000002</v>
      </c>
      <c r="G481" s="106">
        <f t="shared" si="84"/>
        <v>94.9757</v>
      </c>
      <c r="H481" s="106">
        <f t="shared" si="85"/>
        <v>149.70659</v>
      </c>
      <c r="I481" s="107"/>
      <c r="J481" s="107"/>
      <c r="K481" s="107"/>
      <c r="L481" s="107"/>
      <c r="M481" s="107"/>
      <c r="N481" s="107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7"/>
      <c r="Z481" s="107"/>
      <c r="AA481" s="159">
        <v>26.60764</v>
      </c>
      <c r="AB481" s="106">
        <v>15.84585</v>
      </c>
      <c r="AC481" s="107"/>
      <c r="AD481" s="107"/>
      <c r="AE481" s="107"/>
      <c r="AF481" s="107"/>
      <c r="AG481" s="107"/>
      <c r="AH481" s="107"/>
      <c r="AI481" s="107"/>
      <c r="AJ481" s="108">
        <v>0</v>
      </c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7"/>
      <c r="AV481" s="107"/>
      <c r="AW481" s="107"/>
      <c r="AX481" s="107"/>
      <c r="AY481" s="106"/>
      <c r="AZ481" s="107">
        <v>66.816</v>
      </c>
      <c r="BA481" s="107"/>
      <c r="BB481" s="107"/>
      <c r="BC481" s="107">
        <v>68.36806</v>
      </c>
      <c r="BD481" s="107">
        <v>67.04474</v>
      </c>
      <c r="BE481" s="107"/>
      <c r="BF481" s="107"/>
      <c r="BG481" s="107"/>
      <c r="BH481" s="107"/>
      <c r="BI481" s="107"/>
      <c r="BJ481" s="107"/>
      <c r="BK481" s="107"/>
      <c r="BL481" s="107"/>
      <c r="BM481" s="107"/>
      <c r="BN481" s="107"/>
      <c r="BO481" s="107"/>
      <c r="BP481" s="107"/>
      <c r="BQ481" s="109"/>
      <c r="BR481" s="109"/>
      <c r="BS481" s="109"/>
      <c r="BT481" s="109"/>
      <c r="BU481" s="138"/>
    </row>
    <row r="482" spans="1:73" ht="39.75" customHeight="1" outlineLevel="2">
      <c r="A482" s="24" t="s">
        <v>1016</v>
      </c>
      <c r="B482" s="19" t="s">
        <v>912</v>
      </c>
      <c r="C482" s="20" t="s">
        <v>587</v>
      </c>
      <c r="D482" s="218" t="s">
        <v>655</v>
      </c>
      <c r="E482" s="220" t="s">
        <v>2285</v>
      </c>
      <c r="F482" s="108">
        <f t="shared" si="81"/>
        <v>502.75717</v>
      </c>
      <c r="G482" s="106">
        <f t="shared" si="84"/>
        <v>247.73572</v>
      </c>
      <c r="H482" s="106">
        <f t="shared" si="85"/>
        <v>255.02145000000002</v>
      </c>
      <c r="I482" s="107"/>
      <c r="J482" s="107"/>
      <c r="K482" s="107"/>
      <c r="L482" s="107"/>
      <c r="M482" s="107"/>
      <c r="N482" s="107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7"/>
      <c r="Z482" s="107"/>
      <c r="AA482" s="159">
        <v>112.51888</v>
      </c>
      <c r="AB482" s="106">
        <v>59.42193</v>
      </c>
      <c r="AC482" s="107"/>
      <c r="AD482" s="107"/>
      <c r="AE482" s="107"/>
      <c r="AF482" s="107"/>
      <c r="AG482" s="107"/>
      <c r="AH482" s="107"/>
      <c r="AI482" s="107"/>
      <c r="AJ482" s="108">
        <v>0</v>
      </c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7"/>
      <c r="AV482" s="107"/>
      <c r="AW482" s="107"/>
      <c r="AX482" s="107"/>
      <c r="AY482" s="106"/>
      <c r="AZ482" s="107">
        <v>63</v>
      </c>
      <c r="BA482" s="107"/>
      <c r="BB482" s="107"/>
      <c r="BC482" s="107">
        <v>135.21684</v>
      </c>
      <c r="BD482" s="107">
        <v>132.59952</v>
      </c>
      <c r="BE482" s="107"/>
      <c r="BF482" s="107"/>
      <c r="BG482" s="107"/>
      <c r="BH482" s="107"/>
      <c r="BI482" s="107"/>
      <c r="BJ482" s="107"/>
      <c r="BK482" s="107"/>
      <c r="BL482" s="107"/>
      <c r="BM482" s="107"/>
      <c r="BN482" s="107"/>
      <c r="BO482" s="107"/>
      <c r="BP482" s="107"/>
      <c r="BQ482" s="109"/>
      <c r="BR482" s="109"/>
      <c r="BS482" s="109"/>
      <c r="BT482" s="109"/>
      <c r="BU482" s="138"/>
    </row>
    <row r="483" spans="1:73" ht="39.75" customHeight="1" outlineLevel="2">
      <c r="A483" s="19" t="s">
        <v>1016</v>
      </c>
      <c r="B483" s="22" t="s">
        <v>868</v>
      </c>
      <c r="C483" s="20" t="s">
        <v>587</v>
      </c>
      <c r="D483" s="218" t="s">
        <v>288</v>
      </c>
      <c r="E483" s="220" t="s">
        <v>2286</v>
      </c>
      <c r="F483" s="108">
        <f t="shared" si="81"/>
        <v>165.79748999999998</v>
      </c>
      <c r="G483" s="106">
        <f t="shared" si="84"/>
        <v>83.77853999999999</v>
      </c>
      <c r="H483" s="106">
        <f t="shared" si="85"/>
        <v>82.01894999999999</v>
      </c>
      <c r="I483" s="107"/>
      <c r="J483" s="107"/>
      <c r="K483" s="107"/>
      <c r="L483" s="107"/>
      <c r="M483" s="107"/>
      <c r="N483" s="107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7"/>
      <c r="Z483" s="107"/>
      <c r="AA483" s="159">
        <v>39.88765</v>
      </c>
      <c r="AB483" s="106">
        <v>19.80731</v>
      </c>
      <c r="AC483" s="107"/>
      <c r="AD483" s="107"/>
      <c r="AE483" s="107"/>
      <c r="AF483" s="107"/>
      <c r="AG483" s="107"/>
      <c r="AH483" s="107"/>
      <c r="AI483" s="107"/>
      <c r="AJ483" s="108">
        <v>19.171239999999997</v>
      </c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7"/>
      <c r="AV483" s="107"/>
      <c r="AW483" s="107"/>
      <c r="AX483" s="107"/>
      <c r="AY483" s="106"/>
      <c r="AZ483" s="107"/>
      <c r="BA483" s="107"/>
      <c r="BB483" s="107"/>
      <c r="BC483" s="107">
        <v>43.89089</v>
      </c>
      <c r="BD483" s="107">
        <v>43.0404</v>
      </c>
      <c r="BE483" s="107"/>
      <c r="BF483" s="107"/>
      <c r="BG483" s="107"/>
      <c r="BH483" s="107"/>
      <c r="BI483" s="107"/>
      <c r="BJ483" s="107"/>
      <c r="BK483" s="107"/>
      <c r="BL483" s="107"/>
      <c r="BM483" s="107"/>
      <c r="BN483" s="107"/>
      <c r="BO483" s="107"/>
      <c r="BP483" s="107"/>
      <c r="BQ483" s="109"/>
      <c r="BR483" s="109"/>
      <c r="BS483" s="109"/>
      <c r="BT483" s="109"/>
      <c r="BU483" s="138"/>
    </row>
    <row r="484" spans="1:73" ht="39.75" customHeight="1" outlineLevel="2">
      <c r="A484" s="19" t="s">
        <v>1016</v>
      </c>
      <c r="B484" s="22" t="s">
        <v>190</v>
      </c>
      <c r="C484" s="20" t="s">
        <v>587</v>
      </c>
      <c r="D484" s="218" t="s">
        <v>936</v>
      </c>
      <c r="E484" s="220" t="s">
        <v>2287</v>
      </c>
      <c r="F484" s="108">
        <f t="shared" si="81"/>
        <v>56.87037000000001</v>
      </c>
      <c r="G484" s="106">
        <f t="shared" si="84"/>
        <v>8.26528</v>
      </c>
      <c r="H484" s="106">
        <f t="shared" si="85"/>
        <v>48.605090000000004</v>
      </c>
      <c r="I484" s="107"/>
      <c r="J484" s="107"/>
      <c r="K484" s="107"/>
      <c r="L484" s="107"/>
      <c r="M484" s="107"/>
      <c r="N484" s="107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7"/>
      <c r="Z484" s="107"/>
      <c r="AA484" s="159"/>
      <c r="AB484" s="106"/>
      <c r="AC484" s="107"/>
      <c r="AD484" s="107"/>
      <c r="AE484" s="107"/>
      <c r="AF484" s="107"/>
      <c r="AG484" s="107"/>
      <c r="AH484" s="107"/>
      <c r="AI484" s="107"/>
      <c r="AJ484" s="108">
        <v>0</v>
      </c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7"/>
      <c r="AV484" s="107"/>
      <c r="AW484" s="107"/>
      <c r="AX484" s="107"/>
      <c r="AY484" s="106"/>
      <c r="AZ484" s="107">
        <v>40.5</v>
      </c>
      <c r="BA484" s="107"/>
      <c r="BB484" s="107"/>
      <c r="BC484" s="107">
        <v>8.26528</v>
      </c>
      <c r="BD484" s="107">
        <v>8.10509</v>
      </c>
      <c r="BE484" s="107"/>
      <c r="BF484" s="107"/>
      <c r="BG484" s="107"/>
      <c r="BH484" s="107"/>
      <c r="BI484" s="107"/>
      <c r="BJ484" s="107"/>
      <c r="BK484" s="107"/>
      <c r="BL484" s="107"/>
      <c r="BM484" s="107"/>
      <c r="BN484" s="107"/>
      <c r="BO484" s="107"/>
      <c r="BP484" s="107"/>
      <c r="BQ484" s="109"/>
      <c r="BR484" s="109"/>
      <c r="BS484" s="109"/>
      <c r="BT484" s="109"/>
      <c r="BU484" s="138"/>
    </row>
    <row r="485" spans="1:73" ht="39.75" customHeight="1" outlineLevel="2">
      <c r="A485" s="19" t="s">
        <v>1016</v>
      </c>
      <c r="B485" s="22" t="s">
        <v>869</v>
      </c>
      <c r="C485" s="20" t="s">
        <v>587</v>
      </c>
      <c r="D485" s="218" t="s">
        <v>289</v>
      </c>
      <c r="E485" s="220" t="s">
        <v>2288</v>
      </c>
      <c r="F485" s="108">
        <f t="shared" si="81"/>
        <v>135.42565000000002</v>
      </c>
      <c r="G485" s="106">
        <f t="shared" si="84"/>
        <v>68.37538</v>
      </c>
      <c r="H485" s="106">
        <f t="shared" si="85"/>
        <v>67.05027</v>
      </c>
      <c r="I485" s="107"/>
      <c r="J485" s="107"/>
      <c r="K485" s="107"/>
      <c r="L485" s="107"/>
      <c r="M485" s="107"/>
      <c r="N485" s="107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7"/>
      <c r="Z485" s="107"/>
      <c r="AA485" s="159"/>
      <c r="AB485" s="106"/>
      <c r="AC485" s="107"/>
      <c r="AD485" s="107"/>
      <c r="AE485" s="107"/>
      <c r="AF485" s="107"/>
      <c r="AG485" s="107"/>
      <c r="AH485" s="107"/>
      <c r="AI485" s="107"/>
      <c r="AJ485" s="108">
        <v>0</v>
      </c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7"/>
      <c r="AV485" s="107"/>
      <c r="AW485" s="107"/>
      <c r="AX485" s="107"/>
      <c r="AY485" s="106"/>
      <c r="AZ485" s="107"/>
      <c r="BA485" s="107"/>
      <c r="BB485" s="107"/>
      <c r="BC485" s="107">
        <v>68.37538</v>
      </c>
      <c r="BD485" s="107">
        <v>67.05027</v>
      </c>
      <c r="BE485" s="107"/>
      <c r="BF485" s="107"/>
      <c r="BG485" s="107"/>
      <c r="BH485" s="107"/>
      <c r="BI485" s="107"/>
      <c r="BJ485" s="107"/>
      <c r="BK485" s="107"/>
      <c r="BL485" s="107"/>
      <c r="BM485" s="107"/>
      <c r="BN485" s="107"/>
      <c r="BO485" s="107"/>
      <c r="BP485" s="107"/>
      <c r="BQ485" s="109"/>
      <c r="BR485" s="109"/>
      <c r="BS485" s="109"/>
      <c r="BT485" s="109"/>
      <c r="BU485" s="138"/>
    </row>
    <row r="486" spans="1:73" ht="39.75" customHeight="1" outlineLevel="2">
      <c r="A486" s="24" t="s">
        <v>1016</v>
      </c>
      <c r="B486" s="19" t="s">
        <v>915</v>
      </c>
      <c r="C486" s="20" t="s">
        <v>587</v>
      </c>
      <c r="D486" s="218" t="s">
        <v>1164</v>
      </c>
      <c r="E486" s="220" t="s">
        <v>2289</v>
      </c>
      <c r="F486" s="108">
        <f t="shared" si="81"/>
        <v>189.44164999999998</v>
      </c>
      <c r="G486" s="106">
        <f t="shared" si="84"/>
        <v>117.09766</v>
      </c>
      <c r="H486" s="106">
        <f t="shared" si="85"/>
        <v>72.34398999999999</v>
      </c>
      <c r="I486" s="107"/>
      <c r="J486" s="107"/>
      <c r="K486" s="107"/>
      <c r="L486" s="107"/>
      <c r="M486" s="107"/>
      <c r="N486" s="107"/>
      <c r="O486" s="106">
        <v>55.72908</v>
      </c>
      <c r="P486" s="106">
        <v>2.50162</v>
      </c>
      <c r="Q486" s="106"/>
      <c r="R486" s="106"/>
      <c r="S486" s="106"/>
      <c r="T486" s="106"/>
      <c r="U486" s="106"/>
      <c r="V486" s="106"/>
      <c r="W486" s="106"/>
      <c r="X486" s="106"/>
      <c r="Y486" s="107"/>
      <c r="Z486" s="107"/>
      <c r="AA486" s="159">
        <v>26.32386</v>
      </c>
      <c r="AB486" s="106">
        <v>13.86512</v>
      </c>
      <c r="AC486" s="107"/>
      <c r="AD486" s="107"/>
      <c r="AE486" s="107"/>
      <c r="AF486" s="107"/>
      <c r="AG486" s="107"/>
      <c r="AH486" s="107"/>
      <c r="AI486" s="107"/>
      <c r="AJ486" s="108">
        <v>11.46764</v>
      </c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7"/>
      <c r="AV486" s="107"/>
      <c r="AW486" s="107"/>
      <c r="AX486" s="107"/>
      <c r="AY486" s="106"/>
      <c r="AZ486" s="107">
        <v>10.143</v>
      </c>
      <c r="BA486" s="107"/>
      <c r="BB486" s="107"/>
      <c r="BC486" s="107">
        <v>35.04472</v>
      </c>
      <c r="BD486" s="107">
        <v>34.36661</v>
      </c>
      <c r="BE486" s="107"/>
      <c r="BF486" s="107"/>
      <c r="BG486" s="107"/>
      <c r="BH486" s="107"/>
      <c r="BI486" s="107"/>
      <c r="BJ486" s="107"/>
      <c r="BK486" s="107"/>
      <c r="BL486" s="107"/>
      <c r="BM486" s="107"/>
      <c r="BN486" s="107"/>
      <c r="BO486" s="107"/>
      <c r="BP486" s="107"/>
      <c r="BQ486" s="109"/>
      <c r="BR486" s="109"/>
      <c r="BS486" s="109"/>
      <c r="BT486" s="109"/>
      <c r="BU486" s="138"/>
    </row>
    <row r="487" spans="1:73" s="46" customFormat="1" ht="39" customHeight="1" outlineLevel="2">
      <c r="A487" s="23" t="s">
        <v>1016</v>
      </c>
      <c r="B487" s="73" t="s">
        <v>63</v>
      </c>
      <c r="C487" s="21" t="s">
        <v>587</v>
      </c>
      <c r="D487" s="263" t="s">
        <v>1507</v>
      </c>
      <c r="E487" s="264" t="s">
        <v>2290</v>
      </c>
      <c r="F487" s="108">
        <f t="shared" si="81"/>
        <v>89.12839</v>
      </c>
      <c r="G487" s="106">
        <f t="shared" si="84"/>
        <v>35.63365</v>
      </c>
      <c r="H487" s="106">
        <f t="shared" si="85"/>
        <v>53.49474</v>
      </c>
      <c r="I487" s="107"/>
      <c r="J487" s="107"/>
      <c r="K487" s="107"/>
      <c r="L487" s="107"/>
      <c r="M487" s="107"/>
      <c r="N487" s="107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7"/>
      <c r="Z487" s="107"/>
      <c r="AA487" s="159">
        <v>13.74834</v>
      </c>
      <c r="AB487" s="106">
        <v>7.92292</v>
      </c>
      <c r="AC487" s="107"/>
      <c r="AD487" s="107"/>
      <c r="AE487" s="107"/>
      <c r="AF487" s="107"/>
      <c r="AG487" s="107"/>
      <c r="AH487" s="107"/>
      <c r="AI487" s="107"/>
      <c r="AJ487" s="108">
        <v>0</v>
      </c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7"/>
      <c r="AV487" s="107"/>
      <c r="AW487" s="107"/>
      <c r="AX487" s="107"/>
      <c r="AY487" s="106"/>
      <c r="AZ487" s="107">
        <v>24.111</v>
      </c>
      <c r="BA487" s="107"/>
      <c r="BB487" s="107"/>
      <c r="BC487" s="107">
        <v>21.88531</v>
      </c>
      <c r="BD487" s="107">
        <v>21.46082</v>
      </c>
      <c r="BE487" s="107"/>
      <c r="BF487" s="107"/>
      <c r="BG487" s="107"/>
      <c r="BH487" s="107"/>
      <c r="BI487" s="107"/>
      <c r="BJ487" s="107"/>
      <c r="BK487" s="107"/>
      <c r="BL487" s="107"/>
      <c r="BM487" s="107"/>
      <c r="BN487" s="107"/>
      <c r="BO487" s="107"/>
      <c r="BP487" s="107"/>
      <c r="BQ487" s="109"/>
      <c r="BR487" s="109"/>
      <c r="BS487" s="109"/>
      <c r="BT487" s="109"/>
      <c r="BU487" s="138"/>
    </row>
    <row r="488" spans="1:73" ht="39" customHeight="1" outlineLevel="2">
      <c r="A488" s="24" t="s">
        <v>1016</v>
      </c>
      <c r="B488" s="19" t="s">
        <v>1518</v>
      </c>
      <c r="C488" s="20" t="s">
        <v>587</v>
      </c>
      <c r="D488" s="225" t="s">
        <v>1005</v>
      </c>
      <c r="E488" s="226" t="s">
        <v>2291</v>
      </c>
      <c r="F488" s="108">
        <f t="shared" si="81"/>
        <v>246.45673999999997</v>
      </c>
      <c r="G488" s="106">
        <f t="shared" si="84"/>
        <v>104.19930000000001</v>
      </c>
      <c r="H488" s="106">
        <f t="shared" si="85"/>
        <v>142.25743999999997</v>
      </c>
      <c r="I488" s="107"/>
      <c r="J488" s="107"/>
      <c r="K488" s="107"/>
      <c r="L488" s="107"/>
      <c r="M488" s="107"/>
      <c r="N488" s="107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7"/>
      <c r="Z488" s="107"/>
      <c r="AA488" s="159">
        <v>33.99459</v>
      </c>
      <c r="AB488" s="106">
        <v>19.41116</v>
      </c>
      <c r="AC488" s="107"/>
      <c r="AD488" s="107"/>
      <c r="AE488" s="107"/>
      <c r="AF488" s="107"/>
      <c r="AG488" s="107"/>
      <c r="AH488" s="107"/>
      <c r="AI488" s="107"/>
      <c r="AJ488" s="108">
        <v>0</v>
      </c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7"/>
      <c r="AV488" s="107"/>
      <c r="AW488" s="107"/>
      <c r="AX488" s="107"/>
      <c r="AY488" s="106"/>
      <c r="AZ488" s="107">
        <v>54</v>
      </c>
      <c r="BA488" s="107"/>
      <c r="BB488" s="107"/>
      <c r="BC488" s="107">
        <v>70.20471</v>
      </c>
      <c r="BD488" s="107">
        <v>68.84628</v>
      </c>
      <c r="BE488" s="107"/>
      <c r="BF488" s="107"/>
      <c r="BG488" s="107"/>
      <c r="BH488" s="107"/>
      <c r="BI488" s="107"/>
      <c r="BJ488" s="107"/>
      <c r="BK488" s="107"/>
      <c r="BL488" s="107"/>
      <c r="BM488" s="107"/>
      <c r="BN488" s="107"/>
      <c r="BO488" s="107"/>
      <c r="BP488" s="107"/>
      <c r="BQ488" s="109"/>
      <c r="BR488" s="109"/>
      <c r="BS488" s="109"/>
      <c r="BT488" s="109"/>
      <c r="BU488" s="138"/>
    </row>
    <row r="489" spans="1:73" ht="39" customHeight="1" outlineLevel="2">
      <c r="A489" s="24" t="s">
        <v>1016</v>
      </c>
      <c r="B489" s="19" t="s">
        <v>191</v>
      </c>
      <c r="C489" s="20" t="s">
        <v>587</v>
      </c>
      <c r="D489" s="218" t="s">
        <v>1101</v>
      </c>
      <c r="E489" s="220" t="s">
        <v>2292</v>
      </c>
      <c r="F489" s="108">
        <f t="shared" si="81"/>
        <v>401.54638</v>
      </c>
      <c r="G489" s="106">
        <f t="shared" si="84"/>
        <v>232.20154</v>
      </c>
      <c r="H489" s="106">
        <f t="shared" si="85"/>
        <v>169.34484</v>
      </c>
      <c r="I489" s="107"/>
      <c r="J489" s="107"/>
      <c r="K489" s="107"/>
      <c r="L489" s="107"/>
      <c r="M489" s="107"/>
      <c r="N489" s="107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7"/>
      <c r="Z489" s="107"/>
      <c r="AA489" s="159">
        <v>122.73647</v>
      </c>
      <c r="AB489" s="106">
        <v>61.99688</v>
      </c>
      <c r="AC489" s="107"/>
      <c r="AD489" s="107"/>
      <c r="AE489" s="107"/>
      <c r="AF489" s="107"/>
      <c r="AG489" s="107"/>
      <c r="AH489" s="107"/>
      <c r="AI489" s="107"/>
      <c r="AJ489" s="108">
        <v>0</v>
      </c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7"/>
      <c r="AV489" s="107"/>
      <c r="AW489" s="107"/>
      <c r="AX489" s="107"/>
      <c r="AY489" s="106"/>
      <c r="AZ489" s="107"/>
      <c r="BA489" s="107"/>
      <c r="BB489" s="107"/>
      <c r="BC489" s="107">
        <v>109.46507</v>
      </c>
      <c r="BD489" s="107">
        <v>107.34796</v>
      </c>
      <c r="BE489" s="107"/>
      <c r="BF489" s="107"/>
      <c r="BG489" s="107"/>
      <c r="BH489" s="107"/>
      <c r="BI489" s="107"/>
      <c r="BJ489" s="107"/>
      <c r="BK489" s="107"/>
      <c r="BL489" s="107"/>
      <c r="BM489" s="107"/>
      <c r="BN489" s="107"/>
      <c r="BO489" s="107"/>
      <c r="BP489" s="107"/>
      <c r="BQ489" s="109"/>
      <c r="BR489" s="109"/>
      <c r="BS489" s="109"/>
      <c r="BT489" s="109"/>
      <c r="BU489" s="138"/>
    </row>
    <row r="490" spans="1:73" ht="39" customHeight="1" outlineLevel="2">
      <c r="A490" s="24" t="s">
        <v>1016</v>
      </c>
      <c r="B490" s="19" t="s">
        <v>656</v>
      </c>
      <c r="C490" s="20" t="s">
        <v>587</v>
      </c>
      <c r="D490" s="218" t="s">
        <v>1120</v>
      </c>
      <c r="E490" s="203" t="s">
        <v>2293</v>
      </c>
      <c r="F490" s="108">
        <f t="shared" si="81"/>
        <v>297.63</v>
      </c>
      <c r="G490" s="106">
        <f t="shared" si="84"/>
        <v>0</v>
      </c>
      <c r="H490" s="106">
        <f t="shared" si="85"/>
        <v>297.63</v>
      </c>
      <c r="I490" s="107"/>
      <c r="J490" s="107"/>
      <c r="K490" s="107"/>
      <c r="L490" s="107"/>
      <c r="M490" s="107"/>
      <c r="N490" s="107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7"/>
      <c r="Z490" s="107"/>
      <c r="AA490" s="106"/>
      <c r="AB490" s="106"/>
      <c r="AC490" s="107"/>
      <c r="AD490" s="107"/>
      <c r="AE490" s="107"/>
      <c r="AF490" s="107"/>
      <c r="AG490" s="107"/>
      <c r="AH490" s="107"/>
      <c r="AI490" s="107"/>
      <c r="AJ490" s="108">
        <v>0</v>
      </c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7"/>
      <c r="AV490" s="107"/>
      <c r="AW490" s="107"/>
      <c r="AX490" s="107"/>
      <c r="AY490" s="106"/>
      <c r="AZ490" s="107">
        <v>297.63</v>
      </c>
      <c r="BA490" s="107"/>
      <c r="BB490" s="107"/>
      <c r="BC490" s="107"/>
      <c r="BD490" s="107"/>
      <c r="BE490" s="107"/>
      <c r="BF490" s="107"/>
      <c r="BG490" s="107"/>
      <c r="BH490" s="107"/>
      <c r="BI490" s="107"/>
      <c r="BJ490" s="107"/>
      <c r="BK490" s="107"/>
      <c r="BL490" s="107"/>
      <c r="BM490" s="107"/>
      <c r="BN490" s="107"/>
      <c r="BO490" s="107"/>
      <c r="BP490" s="107"/>
      <c r="BQ490" s="109"/>
      <c r="BR490" s="109"/>
      <c r="BS490" s="109"/>
      <c r="BT490" s="109"/>
      <c r="BU490" s="138"/>
    </row>
    <row r="491" spans="1:73" ht="39" customHeight="1" outlineLevel="2">
      <c r="A491" s="24" t="s">
        <v>1016</v>
      </c>
      <c r="B491" s="19" t="s">
        <v>913</v>
      </c>
      <c r="C491" s="20" t="s">
        <v>587</v>
      </c>
      <c r="D491" s="218" t="s">
        <v>935</v>
      </c>
      <c r="E491" s="220" t="s">
        <v>2294</v>
      </c>
      <c r="F491" s="108">
        <f t="shared" si="81"/>
        <v>217.79077999999998</v>
      </c>
      <c r="G491" s="106">
        <f t="shared" si="84"/>
        <v>118.79065</v>
      </c>
      <c r="H491" s="106">
        <f t="shared" si="85"/>
        <v>99.00013</v>
      </c>
      <c r="I491" s="107"/>
      <c r="J491" s="107"/>
      <c r="K491" s="107"/>
      <c r="L491" s="107"/>
      <c r="M491" s="107"/>
      <c r="N491" s="107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7"/>
      <c r="Z491" s="107"/>
      <c r="AA491" s="159">
        <v>38.03218</v>
      </c>
      <c r="AB491" s="106">
        <v>19.80731</v>
      </c>
      <c r="AC491" s="107"/>
      <c r="AD491" s="107"/>
      <c r="AE491" s="107"/>
      <c r="AF491" s="107"/>
      <c r="AG491" s="107"/>
      <c r="AH491" s="107"/>
      <c r="AI491" s="107"/>
      <c r="AJ491" s="108">
        <v>0</v>
      </c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7"/>
      <c r="AV491" s="107"/>
      <c r="AW491" s="107"/>
      <c r="AX491" s="107"/>
      <c r="AY491" s="106"/>
      <c r="AZ491" s="107"/>
      <c r="BA491" s="107"/>
      <c r="BB491" s="107"/>
      <c r="BC491" s="107">
        <v>80.75847</v>
      </c>
      <c r="BD491" s="107">
        <v>79.19282</v>
      </c>
      <c r="BE491" s="107"/>
      <c r="BF491" s="107"/>
      <c r="BG491" s="107"/>
      <c r="BH491" s="107"/>
      <c r="BI491" s="107"/>
      <c r="BJ491" s="107"/>
      <c r="BK491" s="107"/>
      <c r="BL491" s="107"/>
      <c r="BM491" s="107"/>
      <c r="BN491" s="107"/>
      <c r="BO491" s="107"/>
      <c r="BP491" s="107"/>
      <c r="BQ491" s="109"/>
      <c r="BR491" s="109"/>
      <c r="BS491" s="109"/>
      <c r="BT491" s="109"/>
      <c r="BU491" s="138"/>
    </row>
    <row r="492" spans="1:73" ht="39" customHeight="1" outlineLevel="2">
      <c r="A492" s="24" t="s">
        <v>1016</v>
      </c>
      <c r="B492" s="19" t="s">
        <v>1604</v>
      </c>
      <c r="C492" s="20" t="s">
        <v>587</v>
      </c>
      <c r="D492" s="218" t="s">
        <v>2296</v>
      </c>
      <c r="E492" s="220" t="s">
        <v>2295</v>
      </c>
      <c r="F492" s="108">
        <f t="shared" si="81"/>
        <v>35.37</v>
      </c>
      <c r="G492" s="106">
        <f t="shared" si="84"/>
        <v>0</v>
      </c>
      <c r="H492" s="106">
        <f t="shared" si="85"/>
        <v>35.37</v>
      </c>
      <c r="I492" s="107"/>
      <c r="J492" s="107"/>
      <c r="K492" s="107"/>
      <c r="L492" s="107"/>
      <c r="M492" s="107"/>
      <c r="N492" s="107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7"/>
      <c r="Z492" s="107"/>
      <c r="AA492" s="106"/>
      <c r="AB492" s="106"/>
      <c r="AC492" s="107"/>
      <c r="AD492" s="107"/>
      <c r="AE492" s="107"/>
      <c r="AF492" s="107"/>
      <c r="AG492" s="107"/>
      <c r="AH492" s="107"/>
      <c r="AI492" s="107"/>
      <c r="AJ492" s="108">
        <v>0</v>
      </c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7"/>
      <c r="AV492" s="107"/>
      <c r="AW492" s="107"/>
      <c r="AX492" s="107"/>
      <c r="AY492" s="106"/>
      <c r="AZ492" s="107">
        <v>35.37</v>
      </c>
      <c r="BA492" s="107"/>
      <c r="BB492" s="107"/>
      <c r="BC492" s="107"/>
      <c r="BD492" s="107"/>
      <c r="BE492" s="107"/>
      <c r="BF492" s="107"/>
      <c r="BG492" s="107"/>
      <c r="BH492" s="107"/>
      <c r="BI492" s="107"/>
      <c r="BJ492" s="107"/>
      <c r="BK492" s="107"/>
      <c r="BL492" s="107"/>
      <c r="BM492" s="107"/>
      <c r="BN492" s="107"/>
      <c r="BO492" s="107"/>
      <c r="BP492" s="107"/>
      <c r="BQ492" s="109"/>
      <c r="BR492" s="109"/>
      <c r="BS492" s="109"/>
      <c r="BT492" s="109"/>
      <c r="BU492" s="138"/>
    </row>
    <row r="493" spans="1:73" ht="39" customHeight="1" outlineLevel="2">
      <c r="A493" s="24" t="s">
        <v>1016</v>
      </c>
      <c r="B493" s="19" t="s">
        <v>1785</v>
      </c>
      <c r="C493" s="20" t="s">
        <v>587</v>
      </c>
      <c r="D493" s="251" t="s">
        <v>1802</v>
      </c>
      <c r="E493" s="252" t="s">
        <v>2297</v>
      </c>
      <c r="F493" s="108">
        <f t="shared" si="81"/>
        <v>1500</v>
      </c>
      <c r="G493" s="106">
        <f t="shared" si="84"/>
        <v>0</v>
      </c>
      <c r="H493" s="106">
        <f t="shared" si="85"/>
        <v>1500</v>
      </c>
      <c r="I493" s="107"/>
      <c r="J493" s="107"/>
      <c r="K493" s="107"/>
      <c r="L493" s="107"/>
      <c r="M493" s="107"/>
      <c r="N493" s="107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7"/>
      <c r="Z493" s="107"/>
      <c r="AA493" s="106"/>
      <c r="AB493" s="106"/>
      <c r="AC493" s="107"/>
      <c r="AD493" s="107"/>
      <c r="AE493" s="107"/>
      <c r="AF493" s="107"/>
      <c r="AG493" s="107"/>
      <c r="AH493" s="107"/>
      <c r="AI493" s="107"/>
      <c r="AJ493" s="108">
        <v>0</v>
      </c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7"/>
      <c r="AV493" s="107"/>
      <c r="AW493" s="107"/>
      <c r="AX493" s="107"/>
      <c r="AY493" s="106"/>
      <c r="AZ493" s="107"/>
      <c r="BA493" s="107"/>
      <c r="BB493" s="107"/>
      <c r="BC493" s="107"/>
      <c r="BD493" s="107"/>
      <c r="BE493" s="107"/>
      <c r="BF493" s="107"/>
      <c r="BG493" s="107"/>
      <c r="BH493" s="107"/>
      <c r="BI493" s="107"/>
      <c r="BJ493" s="107"/>
      <c r="BK493" s="107"/>
      <c r="BL493" s="107"/>
      <c r="BM493" s="107"/>
      <c r="BN493" s="107"/>
      <c r="BO493" s="107"/>
      <c r="BP493" s="107"/>
      <c r="BQ493" s="109"/>
      <c r="BR493" s="109"/>
      <c r="BS493" s="109">
        <v>1500</v>
      </c>
      <c r="BT493" s="109"/>
      <c r="BU493" s="138"/>
    </row>
    <row r="494" spans="1:73" ht="30.75" customHeight="1" outlineLevel="2">
      <c r="A494" s="24" t="s">
        <v>1016</v>
      </c>
      <c r="B494" s="19" t="s">
        <v>988</v>
      </c>
      <c r="C494" s="20" t="s">
        <v>587</v>
      </c>
      <c r="D494" s="218" t="s">
        <v>989</v>
      </c>
      <c r="E494" s="220" t="s">
        <v>2298</v>
      </c>
      <c r="F494" s="108">
        <f t="shared" si="81"/>
        <v>198.25157000000002</v>
      </c>
      <c r="G494" s="106">
        <f t="shared" si="84"/>
        <v>103.09637000000001</v>
      </c>
      <c r="H494" s="106">
        <f t="shared" si="85"/>
        <v>95.1552</v>
      </c>
      <c r="I494" s="107"/>
      <c r="J494" s="107"/>
      <c r="K494" s="107"/>
      <c r="L494" s="107"/>
      <c r="M494" s="107"/>
      <c r="N494" s="107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7">
        <v>2.52535</v>
      </c>
      <c r="Z494" s="107">
        <v>11.979</v>
      </c>
      <c r="AA494" s="159">
        <v>31.91012</v>
      </c>
      <c r="AB494" s="106">
        <v>15.84585</v>
      </c>
      <c r="AC494" s="107"/>
      <c r="AD494" s="107"/>
      <c r="AE494" s="107"/>
      <c r="AF494" s="107"/>
      <c r="AG494" s="107"/>
      <c r="AH494" s="107"/>
      <c r="AI494" s="107"/>
      <c r="AJ494" s="108">
        <v>0</v>
      </c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7"/>
      <c r="AV494" s="107"/>
      <c r="AW494" s="107"/>
      <c r="AX494" s="107"/>
      <c r="AY494" s="106"/>
      <c r="AZ494" s="107"/>
      <c r="BA494" s="107"/>
      <c r="BB494" s="107"/>
      <c r="BC494" s="107">
        <v>68.6609</v>
      </c>
      <c r="BD494" s="107">
        <v>67.33035</v>
      </c>
      <c r="BE494" s="107"/>
      <c r="BF494" s="107"/>
      <c r="BG494" s="107"/>
      <c r="BH494" s="107"/>
      <c r="BI494" s="107"/>
      <c r="BJ494" s="107"/>
      <c r="BK494" s="107"/>
      <c r="BL494" s="107"/>
      <c r="BM494" s="107"/>
      <c r="BN494" s="107"/>
      <c r="BO494" s="107"/>
      <c r="BP494" s="107"/>
      <c r="BQ494" s="109"/>
      <c r="BR494" s="109"/>
      <c r="BS494" s="109"/>
      <c r="BT494" s="109"/>
      <c r="BU494" s="138"/>
    </row>
    <row r="495" spans="1:73" ht="33" customHeight="1" outlineLevel="2">
      <c r="A495" s="24" t="s">
        <v>1016</v>
      </c>
      <c r="B495" s="19" t="s">
        <v>1136</v>
      </c>
      <c r="C495" s="20" t="s">
        <v>934</v>
      </c>
      <c r="D495" s="218" t="s">
        <v>1237</v>
      </c>
      <c r="E495" s="203" t="s">
        <v>2299</v>
      </c>
      <c r="F495" s="108">
        <f t="shared" si="81"/>
        <v>4446.72538</v>
      </c>
      <c r="G495" s="106">
        <f t="shared" si="84"/>
        <v>0</v>
      </c>
      <c r="H495" s="106">
        <f t="shared" si="85"/>
        <v>4446.72538</v>
      </c>
      <c r="I495" s="107"/>
      <c r="J495" s="107"/>
      <c r="K495" s="107"/>
      <c r="L495" s="107"/>
      <c r="M495" s="107"/>
      <c r="N495" s="107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7"/>
      <c r="Z495" s="107"/>
      <c r="AA495" s="106"/>
      <c r="AB495" s="106"/>
      <c r="AC495" s="107"/>
      <c r="AD495" s="107"/>
      <c r="AE495" s="107"/>
      <c r="AF495" s="107"/>
      <c r="AG495" s="107"/>
      <c r="AH495" s="107"/>
      <c r="AI495" s="107"/>
      <c r="AJ495" s="108">
        <v>0</v>
      </c>
      <c r="AK495" s="107"/>
      <c r="AL495" s="107"/>
      <c r="AM495" s="107"/>
      <c r="AN495" s="107"/>
      <c r="AO495" s="107"/>
      <c r="AP495" s="107"/>
      <c r="AQ495" s="107"/>
      <c r="AR495" s="107"/>
      <c r="AS495" s="107"/>
      <c r="AT495" s="107"/>
      <c r="AU495" s="107"/>
      <c r="AV495" s="107"/>
      <c r="AW495" s="107"/>
      <c r="AX495" s="107"/>
      <c r="AY495" s="106"/>
      <c r="AZ495" s="107"/>
      <c r="BA495" s="107"/>
      <c r="BB495" s="107"/>
      <c r="BC495" s="107"/>
      <c r="BD495" s="107"/>
      <c r="BE495" s="107"/>
      <c r="BF495" s="107"/>
      <c r="BG495" s="107"/>
      <c r="BH495" s="107"/>
      <c r="BI495" s="107"/>
      <c r="BJ495" s="107">
        <v>398.34926</v>
      </c>
      <c r="BK495" s="107"/>
      <c r="BL495" s="107"/>
      <c r="BM495" s="107"/>
      <c r="BN495" s="107">
        <v>4048.37612</v>
      </c>
      <c r="BO495" s="107"/>
      <c r="BP495" s="107"/>
      <c r="BQ495" s="109"/>
      <c r="BR495" s="109"/>
      <c r="BS495" s="109"/>
      <c r="BT495" s="109"/>
      <c r="BU495" s="138"/>
    </row>
    <row r="496" spans="1:73" ht="31.5" customHeight="1" outlineLevel="2">
      <c r="A496" s="24" t="s">
        <v>1016</v>
      </c>
      <c r="B496" s="19" t="s">
        <v>741</v>
      </c>
      <c r="C496" s="20" t="s">
        <v>934</v>
      </c>
      <c r="D496" s="218" t="s">
        <v>1589</v>
      </c>
      <c r="E496" s="203" t="s">
        <v>2300</v>
      </c>
      <c r="F496" s="108">
        <f t="shared" si="81"/>
        <v>61.2845</v>
      </c>
      <c r="G496" s="106">
        <f t="shared" si="84"/>
        <v>0</v>
      </c>
      <c r="H496" s="106">
        <f t="shared" si="85"/>
        <v>61.2845</v>
      </c>
      <c r="I496" s="107"/>
      <c r="J496" s="107"/>
      <c r="K496" s="107"/>
      <c r="L496" s="107"/>
      <c r="M496" s="107"/>
      <c r="N496" s="107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7"/>
      <c r="Z496" s="107"/>
      <c r="AA496" s="106"/>
      <c r="AB496" s="106"/>
      <c r="AC496" s="107"/>
      <c r="AD496" s="107"/>
      <c r="AE496" s="107"/>
      <c r="AF496" s="107"/>
      <c r="AG496" s="107"/>
      <c r="AH496" s="107"/>
      <c r="AI496" s="107"/>
      <c r="AJ496" s="108">
        <v>0</v>
      </c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7"/>
      <c r="AV496" s="107"/>
      <c r="AW496" s="107"/>
      <c r="AX496" s="107"/>
      <c r="AY496" s="106"/>
      <c r="AZ496" s="107"/>
      <c r="BA496" s="107"/>
      <c r="BB496" s="107"/>
      <c r="BC496" s="107"/>
      <c r="BD496" s="107"/>
      <c r="BE496" s="107"/>
      <c r="BF496" s="107"/>
      <c r="BG496" s="107"/>
      <c r="BH496" s="107"/>
      <c r="BI496" s="107"/>
      <c r="BJ496" s="107">
        <v>61.2845</v>
      </c>
      <c r="BK496" s="107"/>
      <c r="BL496" s="107"/>
      <c r="BM496" s="107"/>
      <c r="BN496" s="107"/>
      <c r="BO496" s="107"/>
      <c r="BP496" s="107"/>
      <c r="BQ496" s="109"/>
      <c r="BR496" s="109"/>
      <c r="BS496" s="109"/>
      <c r="BT496" s="109"/>
      <c r="BU496" s="138"/>
    </row>
    <row r="497" spans="1:73" ht="31.5" customHeight="1" outlineLevel="2">
      <c r="A497" s="24" t="s">
        <v>1016</v>
      </c>
      <c r="B497" s="19" t="s">
        <v>630</v>
      </c>
      <c r="C497" s="20" t="s">
        <v>934</v>
      </c>
      <c r="D497" s="218" t="s">
        <v>990</v>
      </c>
      <c r="E497" s="203" t="s">
        <v>2301</v>
      </c>
      <c r="F497" s="108">
        <f aca="true" t="shared" si="86" ref="F497:F552">G497+H497</f>
        <v>1801.93365</v>
      </c>
      <c r="G497" s="106">
        <f t="shared" si="84"/>
        <v>0</v>
      </c>
      <c r="H497" s="106">
        <f t="shared" si="85"/>
        <v>1801.93365</v>
      </c>
      <c r="I497" s="107"/>
      <c r="J497" s="107"/>
      <c r="K497" s="107"/>
      <c r="L497" s="107"/>
      <c r="M497" s="107"/>
      <c r="N497" s="107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7"/>
      <c r="Z497" s="107"/>
      <c r="AA497" s="106"/>
      <c r="AB497" s="106"/>
      <c r="AC497" s="107"/>
      <c r="AD497" s="107"/>
      <c r="AE497" s="107"/>
      <c r="AF497" s="107"/>
      <c r="AG497" s="107"/>
      <c r="AH497" s="107"/>
      <c r="AI497" s="107"/>
      <c r="AJ497" s="108">
        <v>0</v>
      </c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7"/>
      <c r="AV497" s="107"/>
      <c r="AW497" s="107"/>
      <c r="AX497" s="107"/>
      <c r="AY497" s="106"/>
      <c r="AZ497" s="107"/>
      <c r="BA497" s="107"/>
      <c r="BB497" s="107"/>
      <c r="BC497" s="107"/>
      <c r="BD497" s="107"/>
      <c r="BE497" s="107"/>
      <c r="BF497" s="107"/>
      <c r="BG497" s="107"/>
      <c r="BH497" s="107"/>
      <c r="BI497" s="107"/>
      <c r="BJ497" s="107"/>
      <c r="BK497" s="107"/>
      <c r="BL497" s="107"/>
      <c r="BM497" s="107"/>
      <c r="BN497" s="107">
        <v>1801.93365</v>
      </c>
      <c r="BO497" s="107"/>
      <c r="BP497" s="107"/>
      <c r="BQ497" s="109"/>
      <c r="BR497" s="109"/>
      <c r="BS497" s="109"/>
      <c r="BT497" s="109"/>
      <c r="BU497" s="138"/>
    </row>
    <row r="498" spans="1:73" ht="33" customHeight="1" outlineLevel="2" thickBot="1">
      <c r="A498" s="2" t="s">
        <v>1016</v>
      </c>
      <c r="B498" s="33" t="s">
        <v>1017</v>
      </c>
      <c r="C498" s="4" t="s">
        <v>1422</v>
      </c>
      <c r="D498" s="230" t="s">
        <v>1160</v>
      </c>
      <c r="E498" s="203" t="s">
        <v>2302</v>
      </c>
      <c r="F498" s="108">
        <f t="shared" si="86"/>
        <v>5209.28893</v>
      </c>
      <c r="G498" s="106">
        <f t="shared" si="84"/>
        <v>0</v>
      </c>
      <c r="H498" s="106">
        <f t="shared" si="85"/>
        <v>5209.28893</v>
      </c>
      <c r="I498" s="119"/>
      <c r="J498" s="119"/>
      <c r="K498" s="119"/>
      <c r="L498" s="119"/>
      <c r="M498" s="119"/>
      <c r="N498" s="119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19"/>
      <c r="Z498" s="119"/>
      <c r="AA498" s="120"/>
      <c r="AB498" s="120"/>
      <c r="AC498" s="119"/>
      <c r="AD498" s="119"/>
      <c r="AE498" s="119"/>
      <c r="AF498" s="119"/>
      <c r="AG498" s="119"/>
      <c r="AH498" s="119"/>
      <c r="AI498" s="119"/>
      <c r="AJ498" s="108">
        <v>434.97299999999996</v>
      </c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20"/>
      <c r="AZ498" s="119"/>
      <c r="BA498" s="119">
        <v>473.0167</v>
      </c>
      <c r="BB498" s="119"/>
      <c r="BC498" s="119"/>
      <c r="BD498" s="119"/>
      <c r="BE498" s="119">
        <v>319.53781</v>
      </c>
      <c r="BF498" s="119"/>
      <c r="BG498" s="119"/>
      <c r="BH498" s="119"/>
      <c r="BI498" s="119"/>
      <c r="BJ498" s="119">
        <v>3981.76142</v>
      </c>
      <c r="BK498" s="119"/>
      <c r="BL498" s="119"/>
      <c r="BM498" s="119"/>
      <c r="BN498" s="119"/>
      <c r="BO498" s="119"/>
      <c r="BP498" s="119"/>
      <c r="BQ498" s="121"/>
      <c r="BR498" s="121"/>
      <c r="BS498" s="121"/>
      <c r="BT498" s="121"/>
      <c r="BU498" s="140"/>
    </row>
    <row r="499" spans="1:73" s="32" customFormat="1" ht="21" outlineLevel="1" thickBot="1">
      <c r="A499" s="40" t="s">
        <v>992</v>
      </c>
      <c r="B499" s="41"/>
      <c r="C499" s="30" t="s">
        <v>1572</v>
      </c>
      <c r="D499" s="222"/>
      <c r="E499" s="223"/>
      <c r="F499" s="116">
        <f aca="true" t="shared" si="87" ref="F499:AV499">SUBTOTAL(9,F474:F498)</f>
        <v>26259.29942</v>
      </c>
      <c r="G499" s="116">
        <f t="shared" si="87"/>
        <v>5355.4317900000015</v>
      </c>
      <c r="H499" s="116">
        <f t="shared" si="87"/>
        <v>20903.867629999997</v>
      </c>
      <c r="I499" s="116">
        <f t="shared" si="87"/>
        <v>44.23981</v>
      </c>
      <c r="J499" s="116">
        <f t="shared" si="87"/>
        <v>59.37795</v>
      </c>
      <c r="K499" s="116">
        <f t="shared" si="87"/>
        <v>568.64733</v>
      </c>
      <c r="L499" s="116">
        <f t="shared" si="87"/>
        <v>88.92381</v>
      </c>
      <c r="M499" s="116">
        <f t="shared" si="87"/>
        <v>0</v>
      </c>
      <c r="N499" s="116">
        <f t="shared" si="87"/>
        <v>0</v>
      </c>
      <c r="O499" s="116">
        <f t="shared" si="87"/>
        <v>141.59898</v>
      </c>
      <c r="P499" s="116">
        <f t="shared" si="87"/>
        <v>6.26579</v>
      </c>
      <c r="Q499" s="116">
        <f t="shared" si="87"/>
        <v>0</v>
      </c>
      <c r="R499" s="116">
        <f t="shared" si="87"/>
        <v>0</v>
      </c>
      <c r="S499" s="116">
        <f t="shared" si="87"/>
        <v>0</v>
      </c>
      <c r="T499" s="116">
        <f t="shared" si="87"/>
        <v>0</v>
      </c>
      <c r="U499" s="116">
        <f t="shared" si="87"/>
        <v>0</v>
      </c>
      <c r="V499" s="116">
        <f t="shared" si="87"/>
        <v>0</v>
      </c>
      <c r="W499" s="116">
        <f t="shared" si="87"/>
        <v>0</v>
      </c>
      <c r="X499" s="116">
        <f t="shared" si="87"/>
        <v>0</v>
      </c>
      <c r="Y499" s="116">
        <f t="shared" si="87"/>
        <v>87.64535000000001</v>
      </c>
      <c r="Z499" s="116">
        <f t="shared" si="87"/>
        <v>235.587</v>
      </c>
      <c r="AA499" s="116">
        <f t="shared" si="87"/>
        <v>1325.78837</v>
      </c>
      <c r="AB499" s="116">
        <f t="shared" si="87"/>
        <v>680.5791500000001</v>
      </c>
      <c r="AC499" s="116">
        <f t="shared" si="87"/>
        <v>0</v>
      </c>
      <c r="AD499" s="116">
        <f t="shared" si="87"/>
        <v>0</v>
      </c>
      <c r="AE499" s="116">
        <f t="shared" si="87"/>
        <v>0</v>
      </c>
      <c r="AF499" s="116">
        <f t="shared" si="87"/>
        <v>0</v>
      </c>
      <c r="AG499" s="116">
        <f t="shared" si="87"/>
        <v>126.2376</v>
      </c>
      <c r="AH499" s="116">
        <f t="shared" si="87"/>
        <v>0</v>
      </c>
      <c r="AI499" s="116">
        <f t="shared" si="87"/>
        <v>0</v>
      </c>
      <c r="AJ499" s="116">
        <f>SUBTOTAL(9,AJ474:AJ498)</f>
        <v>1048.7925599999999</v>
      </c>
      <c r="AK499" s="116">
        <f t="shared" si="87"/>
        <v>8.1526</v>
      </c>
      <c r="AL499" s="116">
        <f t="shared" si="87"/>
        <v>0</v>
      </c>
      <c r="AM499" s="116">
        <f t="shared" si="87"/>
        <v>0</v>
      </c>
      <c r="AN499" s="116">
        <f t="shared" si="87"/>
        <v>267.4223</v>
      </c>
      <c r="AO499" s="116">
        <f t="shared" si="87"/>
        <v>0</v>
      </c>
      <c r="AP499" s="116">
        <f t="shared" si="87"/>
        <v>0</v>
      </c>
      <c r="AQ499" s="116">
        <f t="shared" si="87"/>
        <v>0</v>
      </c>
      <c r="AR499" s="116">
        <f t="shared" si="87"/>
        <v>0</v>
      </c>
      <c r="AS499" s="116">
        <f t="shared" si="87"/>
        <v>0</v>
      </c>
      <c r="AT499" s="116">
        <f t="shared" si="87"/>
        <v>0</v>
      </c>
      <c r="AU499" s="116">
        <f t="shared" si="87"/>
        <v>0</v>
      </c>
      <c r="AV499" s="116">
        <f t="shared" si="87"/>
        <v>0</v>
      </c>
      <c r="AW499" s="116">
        <f aca="true" t="shared" si="88" ref="AW499:BU499">SUBTOTAL(9,AW474:AW498)</f>
        <v>0</v>
      </c>
      <c r="AX499" s="116">
        <f t="shared" si="88"/>
        <v>0</v>
      </c>
      <c r="AY499" s="116">
        <f t="shared" si="88"/>
        <v>106.07056</v>
      </c>
      <c r="AZ499" s="116">
        <f t="shared" si="88"/>
        <v>672.2189999999999</v>
      </c>
      <c r="BA499" s="116">
        <f t="shared" si="88"/>
        <v>473.0167</v>
      </c>
      <c r="BB499" s="116">
        <f t="shared" si="88"/>
        <v>0</v>
      </c>
      <c r="BC499" s="116">
        <f t="shared" si="88"/>
        <v>3187.51195</v>
      </c>
      <c r="BD499" s="116">
        <f t="shared" si="88"/>
        <v>3125.8771800000004</v>
      </c>
      <c r="BE499" s="116">
        <f t="shared" si="88"/>
        <v>539.99681</v>
      </c>
      <c r="BF499" s="116">
        <f t="shared" si="88"/>
        <v>0</v>
      </c>
      <c r="BG499" s="116">
        <f t="shared" si="88"/>
        <v>0</v>
      </c>
      <c r="BH499" s="116">
        <f t="shared" si="88"/>
        <v>0</v>
      </c>
      <c r="BI499" s="116">
        <f t="shared" si="88"/>
        <v>0</v>
      </c>
      <c r="BJ499" s="116">
        <f t="shared" si="88"/>
        <v>6017.32615</v>
      </c>
      <c r="BK499" s="116"/>
      <c r="BL499" s="116">
        <f t="shared" si="88"/>
        <v>0</v>
      </c>
      <c r="BM499" s="116">
        <f t="shared" si="88"/>
        <v>97.7127</v>
      </c>
      <c r="BN499" s="116">
        <f t="shared" si="88"/>
        <v>5850.30977</v>
      </c>
      <c r="BO499" s="116">
        <f t="shared" si="88"/>
        <v>0</v>
      </c>
      <c r="BP499" s="116">
        <f t="shared" si="88"/>
        <v>0</v>
      </c>
      <c r="BQ499" s="116">
        <f t="shared" si="88"/>
        <v>0</v>
      </c>
      <c r="BR499" s="116">
        <f t="shared" si="88"/>
        <v>0</v>
      </c>
      <c r="BS499" s="116">
        <f t="shared" si="88"/>
        <v>1500</v>
      </c>
      <c r="BT499" s="116">
        <f t="shared" si="88"/>
        <v>0</v>
      </c>
      <c r="BU499" s="116">
        <f t="shared" si="88"/>
        <v>0</v>
      </c>
    </row>
    <row r="500" spans="1:73" ht="41.25" outlineLevel="2" thickBot="1">
      <c r="A500" s="34" t="s">
        <v>993</v>
      </c>
      <c r="B500" s="39" t="s">
        <v>1761</v>
      </c>
      <c r="C500" s="27" t="s">
        <v>587</v>
      </c>
      <c r="D500" s="240" t="s">
        <v>1803</v>
      </c>
      <c r="E500" s="241" t="s">
        <v>2303</v>
      </c>
      <c r="F500" s="108">
        <f t="shared" si="86"/>
        <v>1500</v>
      </c>
      <c r="G500" s="106">
        <f>I500+K500+O500+S500+U500+W500+Y500+AA500+AC500+AE500+AR500+AX500+BC500+BG500+BP500+BR500+BT500+AO500</f>
        <v>348.145</v>
      </c>
      <c r="H500" s="106">
        <f>J500+L500+M500+N500+P500+Q500+R500+T500+V500+X500+Z500+AB500+AD500+AF500+AG500+AJ500+AL500+AS500+AT500+AU500+AV500+AW500+AY500+AZ500+BA500+BB500+BD500+BE500+BF500+BH500+BI500+BJ500+BL500+BM500+BN500+BO500+BQ500+BS500+BU500+AH500+AI500+AK500+AM500+AN500+AP500+AQ500+BK500</f>
        <v>1151.855</v>
      </c>
      <c r="I500" s="129"/>
      <c r="J500" s="129"/>
      <c r="K500" s="129"/>
      <c r="L500" s="129"/>
      <c r="M500" s="129"/>
      <c r="N500" s="129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29"/>
      <c r="Z500" s="129"/>
      <c r="AA500" s="130"/>
      <c r="AB500" s="130"/>
      <c r="AC500" s="129"/>
      <c r="AD500" s="129"/>
      <c r="AE500" s="129"/>
      <c r="AF500" s="129"/>
      <c r="AG500" s="129"/>
      <c r="AH500" s="129"/>
      <c r="AI500" s="129"/>
      <c r="AJ500" s="108">
        <v>0</v>
      </c>
      <c r="AK500" s="129"/>
      <c r="AL500" s="129"/>
      <c r="AM500" s="129"/>
      <c r="AN500" s="129"/>
      <c r="AO500" s="129"/>
      <c r="AP500" s="129"/>
      <c r="AQ500" s="129"/>
      <c r="AR500" s="129"/>
      <c r="AS500" s="129"/>
      <c r="AT500" s="129"/>
      <c r="AU500" s="129"/>
      <c r="AV500" s="129"/>
      <c r="AW500" s="129"/>
      <c r="AX500" s="129"/>
      <c r="AY500" s="130"/>
      <c r="AZ500" s="129"/>
      <c r="BA500" s="129"/>
      <c r="BB500" s="129"/>
      <c r="BC500" s="129"/>
      <c r="BD500" s="129"/>
      <c r="BE500" s="129"/>
      <c r="BF500" s="129"/>
      <c r="BG500" s="129"/>
      <c r="BH500" s="129"/>
      <c r="BI500" s="129"/>
      <c r="BJ500" s="132"/>
      <c r="BK500" s="200"/>
      <c r="BL500" s="129"/>
      <c r="BM500" s="129"/>
      <c r="BN500" s="129"/>
      <c r="BO500" s="129"/>
      <c r="BP500" s="129"/>
      <c r="BQ500" s="131"/>
      <c r="BR500" s="131">
        <v>348.145</v>
      </c>
      <c r="BS500" s="131">
        <v>1151.855</v>
      </c>
      <c r="BT500" s="131"/>
      <c r="BU500" s="142"/>
    </row>
    <row r="501" spans="1:73" s="32" customFormat="1" ht="21" outlineLevel="1" thickBot="1">
      <c r="A501" s="77" t="s">
        <v>994</v>
      </c>
      <c r="B501" s="63"/>
      <c r="C501" s="30" t="s">
        <v>1572</v>
      </c>
      <c r="D501" s="222"/>
      <c r="E501" s="223"/>
      <c r="F501" s="116">
        <f aca="true" t="shared" si="89" ref="F501:BJ501">SUBTOTAL(9,F500:F500)</f>
        <v>1500</v>
      </c>
      <c r="G501" s="116">
        <f t="shared" si="89"/>
        <v>348.145</v>
      </c>
      <c r="H501" s="116">
        <f t="shared" si="89"/>
        <v>1151.855</v>
      </c>
      <c r="I501" s="116">
        <f t="shared" si="89"/>
        <v>0</v>
      </c>
      <c r="J501" s="116">
        <f t="shared" si="89"/>
        <v>0</v>
      </c>
      <c r="K501" s="116">
        <f t="shared" si="89"/>
        <v>0</v>
      </c>
      <c r="L501" s="116">
        <f t="shared" si="89"/>
        <v>0</v>
      </c>
      <c r="M501" s="116">
        <f t="shared" si="89"/>
        <v>0</v>
      </c>
      <c r="N501" s="116">
        <f t="shared" si="89"/>
        <v>0</v>
      </c>
      <c r="O501" s="116">
        <f t="shared" si="89"/>
        <v>0</v>
      </c>
      <c r="P501" s="116">
        <f t="shared" si="89"/>
        <v>0</v>
      </c>
      <c r="Q501" s="116">
        <f t="shared" si="89"/>
        <v>0</v>
      </c>
      <c r="R501" s="116">
        <f t="shared" si="89"/>
        <v>0</v>
      </c>
      <c r="S501" s="116">
        <f t="shared" si="89"/>
        <v>0</v>
      </c>
      <c r="T501" s="116">
        <f t="shared" si="89"/>
        <v>0</v>
      </c>
      <c r="U501" s="116">
        <f t="shared" si="89"/>
        <v>0</v>
      </c>
      <c r="V501" s="116">
        <f t="shared" si="89"/>
        <v>0</v>
      </c>
      <c r="W501" s="116">
        <f t="shared" si="89"/>
        <v>0</v>
      </c>
      <c r="X501" s="116">
        <f t="shared" si="89"/>
        <v>0</v>
      </c>
      <c r="Y501" s="116">
        <f t="shared" si="89"/>
        <v>0</v>
      </c>
      <c r="Z501" s="116">
        <f t="shared" si="89"/>
        <v>0</v>
      </c>
      <c r="AA501" s="116">
        <f t="shared" si="89"/>
        <v>0</v>
      </c>
      <c r="AB501" s="116">
        <f t="shared" si="89"/>
        <v>0</v>
      </c>
      <c r="AC501" s="116">
        <f t="shared" si="89"/>
        <v>0</v>
      </c>
      <c r="AD501" s="116">
        <f t="shared" si="89"/>
        <v>0</v>
      </c>
      <c r="AE501" s="116">
        <f t="shared" si="89"/>
        <v>0</v>
      </c>
      <c r="AF501" s="116">
        <f t="shared" si="89"/>
        <v>0</v>
      </c>
      <c r="AG501" s="116">
        <f t="shared" si="89"/>
        <v>0</v>
      </c>
      <c r="AH501" s="116"/>
      <c r="AI501" s="116"/>
      <c r="AJ501" s="116">
        <v>0</v>
      </c>
      <c r="AK501" s="116"/>
      <c r="AL501" s="116">
        <f t="shared" si="89"/>
        <v>0</v>
      </c>
      <c r="AM501" s="116">
        <f t="shared" si="89"/>
        <v>0</v>
      </c>
      <c r="AN501" s="116">
        <f t="shared" si="89"/>
        <v>0</v>
      </c>
      <c r="AO501" s="116">
        <f t="shared" si="89"/>
        <v>0</v>
      </c>
      <c r="AP501" s="116">
        <f t="shared" si="89"/>
        <v>0</v>
      </c>
      <c r="AQ501" s="116">
        <f t="shared" si="89"/>
        <v>0</v>
      </c>
      <c r="AR501" s="116">
        <f t="shared" si="89"/>
        <v>0</v>
      </c>
      <c r="AS501" s="116">
        <f t="shared" si="89"/>
        <v>0</v>
      </c>
      <c r="AT501" s="116">
        <f t="shared" si="89"/>
        <v>0</v>
      </c>
      <c r="AU501" s="116">
        <f t="shared" si="89"/>
        <v>0</v>
      </c>
      <c r="AV501" s="116">
        <f t="shared" si="89"/>
        <v>0</v>
      </c>
      <c r="AW501" s="116">
        <f t="shared" si="89"/>
        <v>0</v>
      </c>
      <c r="AX501" s="116">
        <f t="shared" si="89"/>
        <v>0</v>
      </c>
      <c r="AY501" s="116">
        <f t="shared" si="89"/>
        <v>0</v>
      </c>
      <c r="AZ501" s="116">
        <f t="shared" si="89"/>
        <v>0</v>
      </c>
      <c r="BA501" s="116">
        <f t="shared" si="89"/>
        <v>0</v>
      </c>
      <c r="BB501" s="116">
        <f t="shared" si="89"/>
        <v>0</v>
      </c>
      <c r="BC501" s="125">
        <f t="shared" si="89"/>
        <v>0</v>
      </c>
      <c r="BD501" s="125">
        <f t="shared" si="89"/>
        <v>0</v>
      </c>
      <c r="BE501" s="116">
        <f t="shared" si="89"/>
        <v>0</v>
      </c>
      <c r="BF501" s="116">
        <f t="shared" si="89"/>
        <v>0</v>
      </c>
      <c r="BG501" s="116">
        <f t="shared" si="89"/>
        <v>0</v>
      </c>
      <c r="BH501" s="116">
        <f t="shared" si="89"/>
        <v>0</v>
      </c>
      <c r="BI501" s="116">
        <f t="shared" si="89"/>
        <v>0</v>
      </c>
      <c r="BJ501" s="127">
        <f t="shared" si="89"/>
        <v>0</v>
      </c>
      <c r="BK501" s="127"/>
      <c r="BL501" s="116">
        <f aca="true" t="shared" si="90" ref="BL501:BU501">SUBTOTAL(9,BL500:BL500)</f>
        <v>0</v>
      </c>
      <c r="BM501" s="116">
        <f t="shared" si="90"/>
        <v>0</v>
      </c>
      <c r="BN501" s="116">
        <f t="shared" si="90"/>
        <v>0</v>
      </c>
      <c r="BO501" s="116">
        <f t="shared" si="90"/>
        <v>0</v>
      </c>
      <c r="BP501" s="116">
        <f t="shared" si="90"/>
        <v>0</v>
      </c>
      <c r="BQ501" s="116">
        <f t="shared" si="90"/>
        <v>0</v>
      </c>
      <c r="BR501" s="116">
        <f t="shared" si="90"/>
        <v>348.145</v>
      </c>
      <c r="BS501" s="116">
        <f t="shared" si="90"/>
        <v>1151.855</v>
      </c>
      <c r="BT501" s="116">
        <f t="shared" si="90"/>
        <v>0</v>
      </c>
      <c r="BU501" s="116">
        <f t="shared" si="90"/>
        <v>0</v>
      </c>
    </row>
    <row r="502" spans="1:73" ht="30.75" customHeight="1" outlineLevel="2">
      <c r="A502" s="24" t="s">
        <v>995</v>
      </c>
      <c r="B502" s="37" t="s">
        <v>996</v>
      </c>
      <c r="C502" s="27" t="s">
        <v>1496</v>
      </c>
      <c r="D502" s="219" t="s">
        <v>997</v>
      </c>
      <c r="E502" s="203" t="s">
        <v>2305</v>
      </c>
      <c r="F502" s="108">
        <f t="shared" si="86"/>
        <v>3369.09305</v>
      </c>
      <c r="G502" s="106">
        <f>I502+K502+O502+S502+U502+W502+Y502+AA502+AC502+AE502+AR502+AX502+BC502+BG502+BP502+BR502+BT502+AO502</f>
        <v>490.83878000000004</v>
      </c>
      <c r="H502" s="106">
        <f>J502+L502+M502+N502+P502+Q502+R502+T502+V502+X502+Z502+AB502+AD502+AF502+AG502+AJ502+AL502+AS502+AT502+AU502+AV502+AW502+AY502+AZ502+BA502+BB502+BD502+BE502+BF502+BH502+BI502+BJ502+BL502+BM502+BN502+BO502+BQ502+BS502+BU502+AH502+AI502+AK502+AM502+AN502+AP502+AQ502+BK502</f>
        <v>2878.25427</v>
      </c>
      <c r="I502" s="113"/>
      <c r="J502" s="113"/>
      <c r="K502" s="113"/>
      <c r="L502" s="113"/>
      <c r="M502" s="113"/>
      <c r="N502" s="113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3">
        <v>45.6</v>
      </c>
      <c r="Z502" s="113">
        <v>119.79</v>
      </c>
      <c r="AA502" s="159">
        <v>268.62762</v>
      </c>
      <c r="AB502" s="106">
        <v>158.45847</v>
      </c>
      <c r="AC502" s="113"/>
      <c r="AD502" s="113"/>
      <c r="AE502" s="113"/>
      <c r="AF502" s="113"/>
      <c r="AG502" s="113"/>
      <c r="AH502" s="113"/>
      <c r="AI502" s="113"/>
      <c r="AJ502" s="108">
        <v>77.5752</v>
      </c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4"/>
      <c r="AZ502" s="113"/>
      <c r="BA502" s="113"/>
      <c r="BB502" s="113"/>
      <c r="BC502" s="107">
        <v>176.61116</v>
      </c>
      <c r="BD502" s="107">
        <v>173.19136</v>
      </c>
      <c r="BE502" s="113"/>
      <c r="BF502" s="113"/>
      <c r="BG502" s="113"/>
      <c r="BH502" s="113"/>
      <c r="BI502" s="113"/>
      <c r="BJ502" s="113">
        <v>2349.23924</v>
      </c>
      <c r="BK502" s="113"/>
      <c r="BL502" s="113"/>
      <c r="BM502" s="113"/>
      <c r="BN502" s="113"/>
      <c r="BO502" s="113"/>
      <c r="BP502" s="113"/>
      <c r="BQ502" s="115"/>
      <c r="BR502" s="115"/>
      <c r="BS502" s="115"/>
      <c r="BT502" s="115"/>
      <c r="BU502" s="139"/>
    </row>
    <row r="503" spans="1:73" ht="38.25" customHeight="1" outlineLevel="2" thickBot="1">
      <c r="A503" s="24" t="s">
        <v>995</v>
      </c>
      <c r="B503" s="37" t="s">
        <v>192</v>
      </c>
      <c r="C503" s="20" t="s">
        <v>587</v>
      </c>
      <c r="D503" s="218" t="s">
        <v>897</v>
      </c>
      <c r="E503" s="220" t="s">
        <v>2304</v>
      </c>
      <c r="F503" s="108">
        <f t="shared" si="86"/>
        <v>67.98286</v>
      </c>
      <c r="G503" s="106">
        <f>I503+K503+O503+S503+U503+W503+Y503+AA503+AC503+AE503+AR503+AX503+BC503+BG503+BP503+BR503+BT503+AO503</f>
        <v>65.62626</v>
      </c>
      <c r="H503" s="106">
        <f>J503+L503+M503+N503+P503+Q503+R503+T503+V503+X503+Z503+AB503+AD503+AF503+AG503+AJ503+AL503+AS503+AT503+AU503+AV503+AW503+AY503+AZ503+BA503+BB503+BD503+BE503+BF503+BH503+BI503+BJ503+BL503+BM503+BN503+BO503+BQ503+BS503+BU503+AH503+AI503+AK503+AM503+AN503+AP503+AQ503+BK503</f>
        <v>2.3566</v>
      </c>
      <c r="I503" s="107"/>
      <c r="J503" s="107"/>
      <c r="K503" s="107"/>
      <c r="L503" s="107"/>
      <c r="M503" s="107"/>
      <c r="N503" s="107"/>
      <c r="O503" s="106">
        <v>65.62626</v>
      </c>
      <c r="P503" s="106">
        <v>2.3566</v>
      </c>
      <c r="Q503" s="106"/>
      <c r="R503" s="106"/>
      <c r="S503" s="106"/>
      <c r="T503" s="106"/>
      <c r="U503" s="106"/>
      <c r="V503" s="106"/>
      <c r="W503" s="106"/>
      <c r="X503" s="106"/>
      <c r="Y503" s="107"/>
      <c r="Z503" s="107"/>
      <c r="AA503" s="106"/>
      <c r="AB503" s="106"/>
      <c r="AC503" s="107"/>
      <c r="AD503" s="107"/>
      <c r="AE503" s="107"/>
      <c r="AF503" s="107"/>
      <c r="AG503" s="107"/>
      <c r="AH503" s="107"/>
      <c r="AI503" s="107"/>
      <c r="AJ503" s="108">
        <v>0</v>
      </c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6"/>
      <c r="AZ503" s="107"/>
      <c r="BA503" s="107"/>
      <c r="BB503" s="107"/>
      <c r="BC503" s="107"/>
      <c r="BD503" s="107"/>
      <c r="BE503" s="107"/>
      <c r="BF503" s="107"/>
      <c r="BG503" s="107"/>
      <c r="BH503" s="107"/>
      <c r="BI503" s="107"/>
      <c r="BJ503" s="107"/>
      <c r="BK503" s="107"/>
      <c r="BL503" s="107"/>
      <c r="BM503" s="107"/>
      <c r="BN503" s="107"/>
      <c r="BO503" s="107"/>
      <c r="BP503" s="107"/>
      <c r="BQ503" s="109"/>
      <c r="BR503" s="109"/>
      <c r="BS503" s="109"/>
      <c r="BT503" s="109"/>
      <c r="BU503" s="138"/>
    </row>
    <row r="504" spans="1:73" s="32" customFormat="1" ht="21" outlineLevel="1" thickBot="1">
      <c r="A504" s="43" t="s">
        <v>998</v>
      </c>
      <c r="B504" s="41"/>
      <c r="C504" s="30" t="s">
        <v>1572</v>
      </c>
      <c r="D504" s="222"/>
      <c r="E504" s="223"/>
      <c r="F504" s="116">
        <f aca="true" t="shared" si="91" ref="F504:BJ504">SUBTOTAL(9,F502:F503)</f>
        <v>3437.07591</v>
      </c>
      <c r="G504" s="116">
        <f t="shared" si="91"/>
        <v>556.46504</v>
      </c>
      <c r="H504" s="116">
        <f t="shared" si="91"/>
        <v>2880.61087</v>
      </c>
      <c r="I504" s="116">
        <f t="shared" si="91"/>
        <v>0</v>
      </c>
      <c r="J504" s="116">
        <f t="shared" si="91"/>
        <v>0</v>
      </c>
      <c r="K504" s="116">
        <f t="shared" si="91"/>
        <v>0</v>
      </c>
      <c r="L504" s="116">
        <f t="shared" si="91"/>
        <v>0</v>
      </c>
      <c r="M504" s="116">
        <f t="shared" si="91"/>
        <v>0</v>
      </c>
      <c r="N504" s="116">
        <f t="shared" si="91"/>
        <v>0</v>
      </c>
      <c r="O504" s="116">
        <f t="shared" si="91"/>
        <v>65.62626</v>
      </c>
      <c r="P504" s="116">
        <f t="shared" si="91"/>
        <v>2.3566</v>
      </c>
      <c r="Q504" s="116">
        <f t="shared" si="91"/>
        <v>0</v>
      </c>
      <c r="R504" s="116">
        <f t="shared" si="91"/>
        <v>0</v>
      </c>
      <c r="S504" s="116">
        <f t="shared" si="91"/>
        <v>0</v>
      </c>
      <c r="T504" s="116">
        <f t="shared" si="91"/>
        <v>0</v>
      </c>
      <c r="U504" s="116">
        <f t="shared" si="91"/>
        <v>0</v>
      </c>
      <c r="V504" s="116">
        <f t="shared" si="91"/>
        <v>0</v>
      </c>
      <c r="W504" s="116">
        <f t="shared" si="91"/>
        <v>0</v>
      </c>
      <c r="X504" s="116">
        <f t="shared" si="91"/>
        <v>0</v>
      </c>
      <c r="Y504" s="116">
        <f t="shared" si="91"/>
        <v>45.6</v>
      </c>
      <c r="Z504" s="116">
        <f t="shared" si="91"/>
        <v>119.79</v>
      </c>
      <c r="AA504" s="116">
        <f t="shared" si="91"/>
        <v>268.62762</v>
      </c>
      <c r="AB504" s="116">
        <f t="shared" si="91"/>
        <v>158.45847</v>
      </c>
      <c r="AC504" s="116">
        <f t="shared" si="91"/>
        <v>0</v>
      </c>
      <c r="AD504" s="116">
        <f t="shared" si="91"/>
        <v>0</v>
      </c>
      <c r="AE504" s="116">
        <f t="shared" si="91"/>
        <v>0</v>
      </c>
      <c r="AF504" s="116">
        <f t="shared" si="91"/>
        <v>0</v>
      </c>
      <c r="AG504" s="116">
        <f t="shared" si="91"/>
        <v>0</v>
      </c>
      <c r="AH504" s="116">
        <f t="shared" si="91"/>
        <v>0</v>
      </c>
      <c r="AI504" s="116">
        <f t="shared" si="91"/>
        <v>0</v>
      </c>
      <c r="AJ504" s="116">
        <f>SUBTOTAL(9,AJ502:AJ503)</f>
        <v>77.5752</v>
      </c>
      <c r="AK504" s="116">
        <f t="shared" si="91"/>
        <v>0</v>
      </c>
      <c r="AL504" s="116">
        <f t="shared" si="91"/>
        <v>0</v>
      </c>
      <c r="AM504" s="116">
        <f t="shared" si="91"/>
        <v>0</v>
      </c>
      <c r="AN504" s="116">
        <f t="shared" si="91"/>
        <v>0</v>
      </c>
      <c r="AO504" s="116">
        <f t="shared" si="91"/>
        <v>0</v>
      </c>
      <c r="AP504" s="116">
        <f t="shared" si="91"/>
        <v>0</v>
      </c>
      <c r="AQ504" s="116">
        <f t="shared" si="91"/>
        <v>0</v>
      </c>
      <c r="AR504" s="116">
        <f t="shared" si="91"/>
        <v>0</v>
      </c>
      <c r="AS504" s="116">
        <f t="shared" si="91"/>
        <v>0</v>
      </c>
      <c r="AT504" s="116">
        <f t="shared" si="91"/>
        <v>0</v>
      </c>
      <c r="AU504" s="116">
        <f t="shared" si="91"/>
        <v>0</v>
      </c>
      <c r="AV504" s="116">
        <f t="shared" si="91"/>
        <v>0</v>
      </c>
      <c r="AW504" s="116">
        <f t="shared" si="91"/>
        <v>0</v>
      </c>
      <c r="AX504" s="116">
        <f t="shared" si="91"/>
        <v>0</v>
      </c>
      <c r="AY504" s="116">
        <f t="shared" si="91"/>
        <v>0</v>
      </c>
      <c r="AZ504" s="116">
        <f t="shared" si="91"/>
        <v>0</v>
      </c>
      <c r="BA504" s="116">
        <f t="shared" si="91"/>
        <v>0</v>
      </c>
      <c r="BB504" s="116">
        <f t="shared" si="91"/>
        <v>0</v>
      </c>
      <c r="BC504" s="116">
        <f t="shared" si="91"/>
        <v>176.61116</v>
      </c>
      <c r="BD504" s="116">
        <f t="shared" si="91"/>
        <v>173.19136</v>
      </c>
      <c r="BE504" s="116">
        <f t="shared" si="91"/>
        <v>0</v>
      </c>
      <c r="BF504" s="116">
        <f t="shared" si="91"/>
        <v>0</v>
      </c>
      <c r="BG504" s="116">
        <f t="shared" si="91"/>
        <v>0</v>
      </c>
      <c r="BH504" s="116">
        <f t="shared" si="91"/>
        <v>0</v>
      </c>
      <c r="BI504" s="116">
        <f t="shared" si="91"/>
        <v>0</v>
      </c>
      <c r="BJ504" s="116">
        <f t="shared" si="91"/>
        <v>2349.23924</v>
      </c>
      <c r="BK504" s="116"/>
      <c r="BL504" s="116">
        <f aca="true" t="shared" si="92" ref="BL504:BU504">SUBTOTAL(9,BL502:BL503)</f>
        <v>0</v>
      </c>
      <c r="BM504" s="116">
        <f t="shared" si="92"/>
        <v>0</v>
      </c>
      <c r="BN504" s="116">
        <f t="shared" si="92"/>
        <v>0</v>
      </c>
      <c r="BO504" s="116">
        <f t="shared" si="92"/>
        <v>0</v>
      </c>
      <c r="BP504" s="116">
        <f t="shared" si="92"/>
        <v>0</v>
      </c>
      <c r="BQ504" s="116">
        <f t="shared" si="92"/>
        <v>0</v>
      </c>
      <c r="BR504" s="116">
        <f t="shared" si="92"/>
        <v>0</v>
      </c>
      <c r="BS504" s="116">
        <f t="shared" si="92"/>
        <v>0</v>
      </c>
      <c r="BT504" s="116">
        <f t="shared" si="92"/>
        <v>0</v>
      </c>
      <c r="BU504" s="116">
        <f t="shared" si="92"/>
        <v>0</v>
      </c>
    </row>
    <row r="505" spans="1:73" ht="33" customHeight="1" outlineLevel="2">
      <c r="A505" s="24" t="s">
        <v>999</v>
      </c>
      <c r="B505" s="37" t="s">
        <v>259</v>
      </c>
      <c r="C505" s="20" t="s">
        <v>1496</v>
      </c>
      <c r="D505" s="218" t="s">
        <v>260</v>
      </c>
      <c r="E505" s="203" t="s">
        <v>2306</v>
      </c>
      <c r="F505" s="108">
        <f t="shared" si="86"/>
        <v>63093.068620000005</v>
      </c>
      <c r="G505" s="106">
        <f>I505+K505+O505+S505+U505+W505+Y505+AA505+AC505+AE505+AR505+AX505+BC505+BG505+BP505+BR505+BT505+AO505</f>
        <v>17522.46185</v>
      </c>
      <c r="H505" s="106">
        <f>J505+L505+M505+N505+P505+Q505+R505+T505+V505+X505+Z505+AB505+AD505+AF505+AG505+AJ505+AL505+AS505+AT505+AU505+AV505+AW505+AY505+AZ505+BA505+BB505+BD505+BE505+BF505+BH505+BI505+BJ505+BL505+BM505+BN505+BO505+BQ505+BS505+BU505+AH505+AI505+AK505+AM505+AN505+AP505+AQ505+BK505</f>
        <v>45570.606770000006</v>
      </c>
      <c r="I505" s="106">
        <v>508.98438</v>
      </c>
      <c r="J505" s="107">
        <v>17.20874</v>
      </c>
      <c r="K505" s="107">
        <v>1512.4762</v>
      </c>
      <c r="L505" s="107">
        <v>254.03505</v>
      </c>
      <c r="M505" s="107">
        <v>2433.96929</v>
      </c>
      <c r="N505" s="107"/>
      <c r="O505" s="107"/>
      <c r="P505" s="107"/>
      <c r="Q505" s="107"/>
      <c r="R505" s="107"/>
      <c r="S505" s="107">
        <f>553.76711+42.0411</f>
        <v>595.80821</v>
      </c>
      <c r="T505" s="107">
        <v>198.60272</v>
      </c>
      <c r="U505" s="107">
        <v>1571.79452</v>
      </c>
      <c r="V505" s="107">
        <v>333.41092</v>
      </c>
      <c r="W505" s="107">
        <f>4047.625+432.80613</f>
        <v>4480.43113</v>
      </c>
      <c r="X505" s="107">
        <f>2113.14363+225.95511</f>
        <v>2339.09874</v>
      </c>
      <c r="Y505" s="107">
        <v>374.16871</v>
      </c>
      <c r="Z505" s="107">
        <v>629.3175</v>
      </c>
      <c r="AA505" s="159">
        <v>2110.28619</v>
      </c>
      <c r="AB505" s="106">
        <v>767.13708</v>
      </c>
      <c r="AC505" s="107"/>
      <c r="AD505" s="107"/>
      <c r="AE505" s="107"/>
      <c r="AF505" s="107"/>
      <c r="AG505" s="107">
        <v>371.0298</v>
      </c>
      <c r="AH505" s="107"/>
      <c r="AI505" s="107"/>
      <c r="AJ505" s="108">
        <v>4084.64364</v>
      </c>
      <c r="AK505" s="107">
        <f>141.7924+103.762</f>
        <v>245.5544</v>
      </c>
      <c r="AL505" s="107"/>
      <c r="AM505" s="107"/>
      <c r="AN505" s="107"/>
      <c r="AO505" s="107"/>
      <c r="AP505" s="107"/>
      <c r="AQ505" s="107">
        <f>115.25+125.875</f>
        <v>241.125</v>
      </c>
      <c r="AR505" s="107"/>
      <c r="AS505" s="107"/>
      <c r="AT505" s="107"/>
      <c r="AU505" s="107"/>
      <c r="AV505" s="107"/>
      <c r="AW505" s="107"/>
      <c r="AX505" s="106"/>
      <c r="AY505" s="106">
        <v>3774.52962</v>
      </c>
      <c r="AZ505" s="107"/>
      <c r="BA505" s="107">
        <f>593.22034+16570.5283</f>
        <v>17163.74864</v>
      </c>
      <c r="BB505" s="107"/>
      <c r="BC505" s="107">
        <v>6368.51251</v>
      </c>
      <c r="BD505" s="107">
        <v>6245.46533</v>
      </c>
      <c r="BE505" s="107">
        <v>269.3845</v>
      </c>
      <c r="BF505" s="107"/>
      <c r="BG505" s="107"/>
      <c r="BH505" s="107"/>
      <c r="BI505" s="107"/>
      <c r="BJ505" s="107">
        <v>6202.3458</v>
      </c>
      <c r="BK505" s="107"/>
      <c r="BL505" s="107"/>
      <c r="BM505" s="107"/>
      <c r="BN505" s="107"/>
      <c r="BO505" s="107"/>
      <c r="BP505" s="107"/>
      <c r="BQ505" s="109"/>
      <c r="BR505" s="109"/>
      <c r="BS505" s="109"/>
      <c r="BT505" s="109"/>
      <c r="BU505" s="138"/>
    </row>
    <row r="506" spans="1:73" ht="40.5" customHeight="1" outlineLevel="2">
      <c r="A506" s="24" t="s">
        <v>999</v>
      </c>
      <c r="B506" s="37" t="s">
        <v>323</v>
      </c>
      <c r="C506" s="20" t="s">
        <v>1496</v>
      </c>
      <c r="D506" s="218" t="s">
        <v>474</v>
      </c>
      <c r="E506" s="203" t="s">
        <v>2307</v>
      </c>
      <c r="F506" s="108">
        <f t="shared" si="86"/>
        <v>75972.22042</v>
      </c>
      <c r="G506" s="106">
        <f aca="true" t="shared" si="93" ref="G506:G548">I506+K506+O506+S506+U506+W506+Y506+AA506+AC506+AE506+AR506+AX506+BC506+BG506+BP506+BR506+BT506+AO506</f>
        <v>20136.58747</v>
      </c>
      <c r="H506" s="106">
        <f aca="true" t="shared" si="94" ref="H506:H548">J506+L506+M506+N506+P506+Q506+R506+T506+V506+X506+Z506+AB506+AD506+AF506+AG506+AJ506+AL506+AS506+AT506+AU506+AV506+AW506+AY506+AZ506+BA506+BB506+BD506+BE506+BF506+BH506+BI506+BJ506+BL506+BM506+BN506+BO506+BQ506+BS506+BU506+AH506+AI506+AK506+AM506+AN506+AP506+AQ506+BK506</f>
        <v>55835.63295</v>
      </c>
      <c r="I506" s="106">
        <v>5585.15636</v>
      </c>
      <c r="J506" s="106">
        <v>1241.21839</v>
      </c>
      <c r="K506" s="107">
        <v>4407.29705</v>
      </c>
      <c r="L506" s="107">
        <v>912.28889</v>
      </c>
      <c r="M506" s="107">
        <v>1546.15318</v>
      </c>
      <c r="N506" s="107">
        <v>11823.8581</v>
      </c>
      <c r="O506" s="107"/>
      <c r="P506" s="107"/>
      <c r="Q506" s="107"/>
      <c r="R506" s="107"/>
      <c r="S506" s="107">
        <f>777.62423+25.22466+906.68064</f>
        <v>1709.52953</v>
      </c>
      <c r="T506" s="107">
        <v>607.17686</v>
      </c>
      <c r="U506" s="107"/>
      <c r="V506" s="107"/>
      <c r="W506" s="107"/>
      <c r="X506" s="107"/>
      <c r="Y506" s="107">
        <v>134.02079</v>
      </c>
      <c r="Z506" s="107">
        <v>820.2441</v>
      </c>
      <c r="AA506" s="159">
        <v>3440.58092</v>
      </c>
      <c r="AB506" s="106">
        <v>1380.37137</v>
      </c>
      <c r="AC506" s="107"/>
      <c r="AD506" s="107"/>
      <c r="AE506" s="107"/>
      <c r="AF506" s="107"/>
      <c r="AG506" s="107">
        <v>711.9186</v>
      </c>
      <c r="AH506" s="107"/>
      <c r="AI506" s="107"/>
      <c r="AJ506" s="108">
        <v>3543.86728</v>
      </c>
      <c r="AK506" s="107">
        <f>85.8427+99.08271</f>
        <v>184.92541</v>
      </c>
      <c r="AL506" s="107"/>
      <c r="AM506" s="107"/>
      <c r="AN506" s="107"/>
      <c r="AO506" s="107"/>
      <c r="AP506" s="107"/>
      <c r="AQ506" s="107">
        <f>336+647.25</f>
        <v>983.25</v>
      </c>
      <c r="AR506" s="107"/>
      <c r="AS506" s="107"/>
      <c r="AT506" s="107"/>
      <c r="AU506" s="107"/>
      <c r="AV506" s="107"/>
      <c r="AW506" s="107"/>
      <c r="AX506" s="107"/>
      <c r="AY506" s="106">
        <v>1650.29593</v>
      </c>
      <c r="AZ506" s="107"/>
      <c r="BA506" s="107">
        <f>6667.67814+16234.62921</f>
        <v>22902.30735</v>
      </c>
      <c r="BB506" s="107"/>
      <c r="BC506" s="107">
        <v>4860.00282</v>
      </c>
      <c r="BD506" s="107">
        <v>4766.04403</v>
      </c>
      <c r="BE506" s="107">
        <v>723.90139</v>
      </c>
      <c r="BF506" s="107"/>
      <c r="BG506" s="107"/>
      <c r="BH506" s="107"/>
      <c r="BI506" s="107"/>
      <c r="BJ506" s="107">
        <v>784.03243</v>
      </c>
      <c r="BK506" s="107"/>
      <c r="BL506" s="107"/>
      <c r="BM506" s="107">
        <v>1253.77964</v>
      </c>
      <c r="BN506" s="107"/>
      <c r="BO506" s="107"/>
      <c r="BP506" s="107"/>
      <c r="BQ506" s="109"/>
      <c r="BR506" s="109"/>
      <c r="BS506" s="109"/>
      <c r="BT506" s="109"/>
      <c r="BU506" s="138"/>
    </row>
    <row r="507" spans="1:73" ht="48.75" customHeight="1" outlineLevel="2">
      <c r="A507" s="35" t="s">
        <v>999</v>
      </c>
      <c r="B507" s="19" t="s">
        <v>504</v>
      </c>
      <c r="C507" s="20" t="s">
        <v>1496</v>
      </c>
      <c r="D507" s="218" t="s">
        <v>258</v>
      </c>
      <c r="E507" s="203" t="s">
        <v>2308</v>
      </c>
      <c r="F507" s="108">
        <f t="shared" si="86"/>
        <v>15436.717209999999</v>
      </c>
      <c r="G507" s="106">
        <f t="shared" si="93"/>
        <v>1531.2021300000001</v>
      </c>
      <c r="H507" s="106">
        <f t="shared" si="94"/>
        <v>13905.51508</v>
      </c>
      <c r="I507" s="107"/>
      <c r="J507" s="107"/>
      <c r="K507" s="107"/>
      <c r="L507" s="107"/>
      <c r="M507" s="107">
        <v>196.41118</v>
      </c>
      <c r="N507" s="107"/>
      <c r="O507" s="106"/>
      <c r="P507" s="106"/>
      <c r="Q507" s="106"/>
      <c r="R507" s="106"/>
      <c r="S507" s="106"/>
      <c r="T507" s="106"/>
      <c r="U507" s="106"/>
      <c r="V507" s="106"/>
      <c r="W507" s="106">
        <v>192.11502</v>
      </c>
      <c r="X507" s="106">
        <v>100.29749</v>
      </c>
      <c r="Y507" s="107">
        <v>42.08917</v>
      </c>
      <c r="Z507" s="107">
        <v>360.822</v>
      </c>
      <c r="AA507" s="159">
        <v>260.0954</v>
      </c>
      <c r="AB507" s="106">
        <v>114.88239</v>
      </c>
      <c r="AC507" s="107"/>
      <c r="AD507" s="107"/>
      <c r="AE507" s="107"/>
      <c r="AF507" s="107"/>
      <c r="AG507" s="107">
        <v>277.179</v>
      </c>
      <c r="AH507" s="107"/>
      <c r="AI507" s="107"/>
      <c r="AJ507" s="108">
        <v>486.77495999999996</v>
      </c>
      <c r="AK507" s="107">
        <v>17.562</v>
      </c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7"/>
      <c r="AV507" s="107"/>
      <c r="AW507" s="107"/>
      <c r="AX507" s="107"/>
      <c r="AY507" s="106">
        <v>985.65368</v>
      </c>
      <c r="AZ507" s="107"/>
      <c r="BA507" s="107">
        <f>1852.64015+3380.32443</f>
        <v>5232.96458</v>
      </c>
      <c r="BB507" s="107"/>
      <c r="BC507" s="107">
        <v>1036.90254</v>
      </c>
      <c r="BD507" s="107">
        <v>1016.81985</v>
      </c>
      <c r="BE507" s="107"/>
      <c r="BF507" s="107"/>
      <c r="BG507" s="107"/>
      <c r="BH507" s="107"/>
      <c r="BI507" s="107"/>
      <c r="BJ507" s="107">
        <v>5116.14795</v>
      </c>
      <c r="BK507" s="107"/>
      <c r="BL507" s="107"/>
      <c r="BM507" s="107"/>
      <c r="BN507" s="107"/>
      <c r="BO507" s="107"/>
      <c r="BP507" s="107"/>
      <c r="BQ507" s="109"/>
      <c r="BR507" s="109"/>
      <c r="BS507" s="109"/>
      <c r="BT507" s="109"/>
      <c r="BU507" s="138"/>
    </row>
    <row r="508" spans="1:73" ht="31.5" customHeight="1" outlineLevel="2">
      <c r="A508" s="35" t="s">
        <v>999</v>
      </c>
      <c r="B508" s="22" t="s">
        <v>234</v>
      </c>
      <c r="C508" s="20" t="s">
        <v>1496</v>
      </c>
      <c r="D508" s="218" t="s">
        <v>707</v>
      </c>
      <c r="E508" s="203" t="s">
        <v>2314</v>
      </c>
      <c r="F508" s="108">
        <f t="shared" si="86"/>
        <v>107.15122</v>
      </c>
      <c r="G508" s="106">
        <f t="shared" si="93"/>
        <v>59.46083</v>
      </c>
      <c r="H508" s="106">
        <f t="shared" si="94"/>
        <v>47.69039</v>
      </c>
      <c r="I508" s="107"/>
      <c r="J508" s="107"/>
      <c r="K508" s="107"/>
      <c r="L508" s="107"/>
      <c r="M508" s="107"/>
      <c r="N508" s="107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7">
        <v>4.20892</v>
      </c>
      <c r="Z508" s="107"/>
      <c r="AA508" s="159">
        <v>21.68797</v>
      </c>
      <c r="AB508" s="106">
        <v>14.77625</v>
      </c>
      <c r="AC508" s="107"/>
      <c r="AD508" s="107"/>
      <c r="AE508" s="107"/>
      <c r="AF508" s="107"/>
      <c r="AG508" s="107"/>
      <c r="AH508" s="107"/>
      <c r="AI508" s="107"/>
      <c r="AJ508" s="108">
        <v>0</v>
      </c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7"/>
      <c r="AV508" s="107"/>
      <c r="AW508" s="107"/>
      <c r="AX508" s="107"/>
      <c r="AY508" s="106"/>
      <c r="AZ508" s="107"/>
      <c r="BA508" s="107"/>
      <c r="BB508" s="107"/>
      <c r="BC508" s="107">
        <v>33.56394</v>
      </c>
      <c r="BD508" s="107">
        <v>32.91414</v>
      </c>
      <c r="BE508" s="107"/>
      <c r="BF508" s="107"/>
      <c r="BG508" s="107"/>
      <c r="BH508" s="107"/>
      <c r="BI508" s="107"/>
      <c r="BJ508" s="107"/>
      <c r="BK508" s="107"/>
      <c r="BL508" s="107"/>
      <c r="BM508" s="107"/>
      <c r="BN508" s="107"/>
      <c r="BO508" s="107"/>
      <c r="BP508" s="107"/>
      <c r="BQ508" s="109"/>
      <c r="BR508" s="109"/>
      <c r="BS508" s="109"/>
      <c r="BT508" s="109"/>
      <c r="BU508" s="138"/>
    </row>
    <row r="509" spans="1:73" ht="31.5" customHeight="1" outlineLevel="2">
      <c r="A509" s="24" t="s">
        <v>999</v>
      </c>
      <c r="B509" s="37" t="s">
        <v>895</v>
      </c>
      <c r="C509" s="20" t="s">
        <v>1496</v>
      </c>
      <c r="D509" s="218" t="s">
        <v>896</v>
      </c>
      <c r="E509" s="203" t="s">
        <v>2315</v>
      </c>
      <c r="F509" s="108">
        <f t="shared" si="86"/>
        <v>1422.0950599999999</v>
      </c>
      <c r="G509" s="106">
        <f t="shared" si="93"/>
        <v>724.9403</v>
      </c>
      <c r="H509" s="106">
        <f t="shared" si="94"/>
        <v>697.1547599999999</v>
      </c>
      <c r="I509" s="107"/>
      <c r="J509" s="107"/>
      <c r="K509" s="107"/>
      <c r="L509" s="107"/>
      <c r="M509" s="107"/>
      <c r="N509" s="107"/>
      <c r="O509" s="106"/>
      <c r="P509" s="106"/>
      <c r="Q509" s="106"/>
      <c r="R509" s="106"/>
      <c r="S509" s="106">
        <v>12.06107</v>
      </c>
      <c r="T509" s="106">
        <v>6.03053</v>
      </c>
      <c r="U509" s="106"/>
      <c r="V509" s="106"/>
      <c r="W509" s="106"/>
      <c r="X509" s="106"/>
      <c r="Y509" s="107"/>
      <c r="Z509" s="107"/>
      <c r="AA509" s="159">
        <v>116.66541</v>
      </c>
      <c r="AB509" s="106">
        <v>76.25814</v>
      </c>
      <c r="AC509" s="107"/>
      <c r="AD509" s="107"/>
      <c r="AE509" s="107"/>
      <c r="AF509" s="107"/>
      <c r="AG509" s="107"/>
      <c r="AH509" s="107"/>
      <c r="AI509" s="107"/>
      <c r="AJ509" s="108">
        <v>30.09</v>
      </c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7"/>
      <c r="AV509" s="107"/>
      <c r="AW509" s="107"/>
      <c r="AX509" s="107"/>
      <c r="AY509" s="106"/>
      <c r="AZ509" s="107"/>
      <c r="BA509" s="107"/>
      <c r="BB509" s="107"/>
      <c r="BC509" s="107">
        <v>596.21382</v>
      </c>
      <c r="BD509" s="107">
        <v>584.77609</v>
      </c>
      <c r="BE509" s="107"/>
      <c r="BF509" s="107"/>
      <c r="BG509" s="107"/>
      <c r="BH509" s="107"/>
      <c r="BI509" s="107"/>
      <c r="BJ509" s="107"/>
      <c r="BK509" s="107"/>
      <c r="BL509" s="107"/>
      <c r="BM509" s="107"/>
      <c r="BN509" s="107"/>
      <c r="BO509" s="107"/>
      <c r="BP509" s="107"/>
      <c r="BQ509" s="109"/>
      <c r="BR509" s="109"/>
      <c r="BS509" s="109"/>
      <c r="BT509" s="109"/>
      <c r="BU509" s="138"/>
    </row>
    <row r="510" spans="1:73" ht="34.5" customHeight="1" outlineLevel="2">
      <c r="A510" s="24" t="s">
        <v>999</v>
      </c>
      <c r="B510" s="19" t="s">
        <v>1178</v>
      </c>
      <c r="C510" s="20" t="s">
        <v>1496</v>
      </c>
      <c r="D510" s="218" t="s">
        <v>1179</v>
      </c>
      <c r="E510" s="203" t="s">
        <v>2309</v>
      </c>
      <c r="F510" s="108">
        <f t="shared" si="86"/>
        <v>474.09437</v>
      </c>
      <c r="G510" s="106">
        <f t="shared" si="93"/>
        <v>275.81673</v>
      </c>
      <c r="H510" s="106">
        <f t="shared" si="94"/>
        <v>198.27764000000002</v>
      </c>
      <c r="I510" s="106"/>
      <c r="J510" s="106"/>
      <c r="K510" s="107">
        <v>84.71917</v>
      </c>
      <c r="L510" s="107">
        <v>6.21996</v>
      </c>
      <c r="M510" s="107"/>
      <c r="N510" s="107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7"/>
      <c r="Z510" s="107"/>
      <c r="AA510" s="159">
        <v>88.08423</v>
      </c>
      <c r="AB510" s="106">
        <v>47.1414</v>
      </c>
      <c r="AC510" s="107"/>
      <c r="AD510" s="107"/>
      <c r="AE510" s="107"/>
      <c r="AF510" s="107"/>
      <c r="AG510" s="107"/>
      <c r="AH510" s="107"/>
      <c r="AI510" s="107"/>
      <c r="AJ510" s="108">
        <v>43.8952</v>
      </c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7"/>
      <c r="AV510" s="107"/>
      <c r="AW510" s="107"/>
      <c r="AX510" s="107"/>
      <c r="AY510" s="106"/>
      <c r="AZ510" s="107"/>
      <c r="BA510" s="107"/>
      <c r="BB510" s="107"/>
      <c r="BC510" s="107">
        <v>103.01333</v>
      </c>
      <c r="BD510" s="107">
        <v>101.02108</v>
      </c>
      <c r="BE510" s="107"/>
      <c r="BF510" s="107"/>
      <c r="BG510" s="107"/>
      <c r="BH510" s="107"/>
      <c r="BI510" s="107"/>
      <c r="BJ510" s="107"/>
      <c r="BK510" s="107"/>
      <c r="BL510" s="107"/>
      <c r="BM510" s="107"/>
      <c r="BN510" s="107"/>
      <c r="BO510" s="107"/>
      <c r="BP510" s="107"/>
      <c r="BQ510" s="109"/>
      <c r="BR510" s="109"/>
      <c r="BS510" s="109"/>
      <c r="BT510" s="109"/>
      <c r="BU510" s="138"/>
    </row>
    <row r="511" spans="1:73" ht="34.5" customHeight="1" outlineLevel="2">
      <c r="A511" s="24" t="s">
        <v>999</v>
      </c>
      <c r="B511" s="19" t="s">
        <v>1180</v>
      </c>
      <c r="C511" s="20" t="s">
        <v>1496</v>
      </c>
      <c r="D511" s="218" t="s">
        <v>1121</v>
      </c>
      <c r="E511" s="203" t="s">
        <v>2311</v>
      </c>
      <c r="F511" s="108">
        <f t="shared" si="86"/>
        <v>345.67553999999996</v>
      </c>
      <c r="G511" s="106">
        <f t="shared" si="93"/>
        <v>189.04662</v>
      </c>
      <c r="H511" s="106">
        <f t="shared" si="94"/>
        <v>156.62892</v>
      </c>
      <c r="I511" s="107"/>
      <c r="J511" s="107"/>
      <c r="K511" s="107">
        <v>62.78503</v>
      </c>
      <c r="L511" s="107">
        <v>7.99233</v>
      </c>
      <c r="M511" s="107"/>
      <c r="N511" s="107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7">
        <v>4.56</v>
      </c>
      <c r="Z511" s="107">
        <v>11.979</v>
      </c>
      <c r="AA511" s="159">
        <v>53.67568</v>
      </c>
      <c r="AB511" s="106">
        <v>36.44545</v>
      </c>
      <c r="AC511" s="107"/>
      <c r="AD511" s="107"/>
      <c r="AE511" s="107"/>
      <c r="AF511" s="107"/>
      <c r="AG511" s="107"/>
      <c r="AH511" s="107"/>
      <c r="AI511" s="107"/>
      <c r="AJ511" s="108">
        <v>33.503</v>
      </c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7"/>
      <c r="AV511" s="107"/>
      <c r="AW511" s="107"/>
      <c r="AX511" s="107"/>
      <c r="AY511" s="106"/>
      <c r="AZ511" s="107"/>
      <c r="BA511" s="107"/>
      <c r="BB511" s="107"/>
      <c r="BC511" s="107">
        <v>68.02591</v>
      </c>
      <c r="BD511" s="107">
        <v>66.70914</v>
      </c>
      <c r="BE511" s="107"/>
      <c r="BF511" s="107"/>
      <c r="BG511" s="107"/>
      <c r="BH511" s="107"/>
      <c r="BI511" s="107"/>
      <c r="BJ511" s="107"/>
      <c r="BK511" s="107"/>
      <c r="BL511" s="107"/>
      <c r="BM511" s="107"/>
      <c r="BN511" s="107"/>
      <c r="BO511" s="107"/>
      <c r="BP511" s="107"/>
      <c r="BQ511" s="109"/>
      <c r="BR511" s="109"/>
      <c r="BS511" s="109"/>
      <c r="BT511" s="109"/>
      <c r="BU511" s="138"/>
    </row>
    <row r="512" spans="1:73" ht="30.75" customHeight="1" outlineLevel="2">
      <c r="A512" s="24" t="s">
        <v>999</v>
      </c>
      <c r="B512" s="19" t="s">
        <v>1122</v>
      </c>
      <c r="C512" s="20" t="s">
        <v>1496</v>
      </c>
      <c r="D512" s="218" t="s">
        <v>1094</v>
      </c>
      <c r="E512" s="203" t="s">
        <v>2310</v>
      </c>
      <c r="F512" s="108">
        <f t="shared" si="86"/>
        <v>501.32669999999996</v>
      </c>
      <c r="G512" s="106">
        <f t="shared" si="93"/>
        <v>252.83020000000002</v>
      </c>
      <c r="H512" s="106">
        <f t="shared" si="94"/>
        <v>248.49649999999997</v>
      </c>
      <c r="I512" s="107"/>
      <c r="J512" s="107"/>
      <c r="K512" s="107">
        <v>51.01329</v>
      </c>
      <c r="L512" s="107">
        <v>6.84411</v>
      </c>
      <c r="M512" s="107"/>
      <c r="N512" s="107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7">
        <v>6.08</v>
      </c>
      <c r="Z512" s="107">
        <v>15.972</v>
      </c>
      <c r="AA512" s="159">
        <f>73.52424+39.58998</f>
        <v>113.11422</v>
      </c>
      <c r="AB512" s="106">
        <f>51.499+27.73023</f>
        <v>79.22923</v>
      </c>
      <c r="AC512" s="107"/>
      <c r="AD512" s="107"/>
      <c r="AE512" s="107"/>
      <c r="AF512" s="107"/>
      <c r="AG512" s="107"/>
      <c r="AH512" s="107"/>
      <c r="AI512" s="107"/>
      <c r="AJ512" s="108">
        <v>42.81976</v>
      </c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7"/>
      <c r="AV512" s="107"/>
      <c r="AW512" s="107"/>
      <c r="AX512" s="107"/>
      <c r="AY512" s="106"/>
      <c r="AZ512" s="107"/>
      <c r="BA512" s="107"/>
      <c r="BB512" s="107"/>
      <c r="BC512" s="107">
        <v>82.62269</v>
      </c>
      <c r="BD512" s="107">
        <v>81.0214</v>
      </c>
      <c r="BE512" s="107"/>
      <c r="BF512" s="107"/>
      <c r="BG512" s="107"/>
      <c r="BH512" s="107"/>
      <c r="BI512" s="107"/>
      <c r="BJ512" s="107"/>
      <c r="BK512" s="107"/>
      <c r="BL512" s="107"/>
      <c r="BM512" s="107">
        <v>22.61</v>
      </c>
      <c r="BN512" s="107"/>
      <c r="BO512" s="107"/>
      <c r="BP512" s="107"/>
      <c r="BQ512" s="109"/>
      <c r="BR512" s="109"/>
      <c r="BS512" s="109"/>
      <c r="BT512" s="109"/>
      <c r="BU512" s="138"/>
    </row>
    <row r="513" spans="1:73" ht="51.75" customHeight="1" outlineLevel="2">
      <c r="A513" s="24" t="s">
        <v>999</v>
      </c>
      <c r="B513" s="19" t="s">
        <v>321</v>
      </c>
      <c r="C513" s="20" t="s">
        <v>1496</v>
      </c>
      <c r="D513" s="218" t="s">
        <v>229</v>
      </c>
      <c r="E513" s="203" t="s">
        <v>2312</v>
      </c>
      <c r="F513" s="108">
        <f t="shared" si="86"/>
        <v>716.4591</v>
      </c>
      <c r="G513" s="106">
        <f t="shared" si="93"/>
        <v>192.7075</v>
      </c>
      <c r="H513" s="106">
        <f t="shared" si="94"/>
        <v>523.7516</v>
      </c>
      <c r="I513" s="107"/>
      <c r="J513" s="107"/>
      <c r="K513" s="107">
        <v>5.43459</v>
      </c>
      <c r="L513" s="107">
        <v>1.31526</v>
      </c>
      <c r="M513" s="107"/>
      <c r="N513" s="107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7">
        <v>4.56</v>
      </c>
      <c r="Z513" s="107">
        <v>11.979</v>
      </c>
      <c r="AA513" s="159">
        <f>22.62284+45.24569</f>
        <v>67.86853</v>
      </c>
      <c r="AB513" s="106">
        <f>11.88439+23.76877</f>
        <v>35.65316</v>
      </c>
      <c r="AC513" s="107"/>
      <c r="AD513" s="107"/>
      <c r="AE513" s="107"/>
      <c r="AF513" s="107"/>
      <c r="AG513" s="107"/>
      <c r="AH513" s="107"/>
      <c r="AI513" s="107"/>
      <c r="AJ513" s="108">
        <v>49.2724</v>
      </c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7"/>
      <c r="AV513" s="107"/>
      <c r="AW513" s="107"/>
      <c r="AX513" s="107"/>
      <c r="AY513" s="106"/>
      <c r="AZ513" s="107"/>
      <c r="BA513" s="107"/>
      <c r="BB513" s="107"/>
      <c r="BC513" s="107">
        <v>114.84438</v>
      </c>
      <c r="BD513" s="107">
        <v>112.6195</v>
      </c>
      <c r="BE513" s="107"/>
      <c r="BF513" s="107"/>
      <c r="BG513" s="107"/>
      <c r="BH513" s="107"/>
      <c r="BI513" s="107"/>
      <c r="BJ513" s="107">
        <v>41.59228</v>
      </c>
      <c r="BK513" s="107"/>
      <c r="BL513" s="107"/>
      <c r="BM513" s="107">
        <v>271.32</v>
      </c>
      <c r="BN513" s="107"/>
      <c r="BO513" s="107"/>
      <c r="BP513" s="107"/>
      <c r="BQ513" s="109"/>
      <c r="BR513" s="109"/>
      <c r="BS513" s="109"/>
      <c r="BT513" s="109"/>
      <c r="BU513" s="138"/>
    </row>
    <row r="514" spans="1:73" ht="44.25" customHeight="1" outlineLevel="2">
      <c r="A514" s="24" t="s">
        <v>999</v>
      </c>
      <c r="B514" s="19" t="s">
        <v>52</v>
      </c>
      <c r="C514" s="20" t="s">
        <v>1496</v>
      </c>
      <c r="D514" s="218" t="s">
        <v>251</v>
      </c>
      <c r="E514" s="203" t="s">
        <v>2313</v>
      </c>
      <c r="F514" s="108">
        <f t="shared" si="86"/>
        <v>1719.2176799999997</v>
      </c>
      <c r="G514" s="106">
        <f t="shared" si="93"/>
        <v>120.47327</v>
      </c>
      <c r="H514" s="106">
        <f t="shared" si="94"/>
        <v>1598.7444099999998</v>
      </c>
      <c r="I514" s="107"/>
      <c r="J514" s="107"/>
      <c r="K514" s="107"/>
      <c r="L514" s="107"/>
      <c r="M514" s="107"/>
      <c r="N514" s="107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7">
        <v>4.56</v>
      </c>
      <c r="Z514" s="107">
        <v>11.979</v>
      </c>
      <c r="AA514" s="159">
        <f>18.75315+37.50629</f>
        <v>56.25944</v>
      </c>
      <c r="AB514" s="106">
        <f>13.86512+27.73023</f>
        <v>41.595349999999996</v>
      </c>
      <c r="AC514" s="107"/>
      <c r="AD514" s="107"/>
      <c r="AE514" s="107"/>
      <c r="AF514" s="107"/>
      <c r="AG514" s="107"/>
      <c r="AH514" s="107"/>
      <c r="AI514" s="107"/>
      <c r="AJ514" s="108">
        <v>26.87484</v>
      </c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7"/>
      <c r="AV514" s="107"/>
      <c r="AW514" s="107"/>
      <c r="AX514" s="107"/>
      <c r="AY514" s="106"/>
      <c r="AZ514" s="107"/>
      <c r="BA514" s="107">
        <f>469.8259+547.8711</f>
        <v>1017.6969999999999</v>
      </c>
      <c r="BB514" s="107"/>
      <c r="BC514" s="107">
        <v>59.65383</v>
      </c>
      <c r="BD514" s="107">
        <v>58.49874</v>
      </c>
      <c r="BE514" s="107"/>
      <c r="BF514" s="107"/>
      <c r="BG514" s="107"/>
      <c r="BH514" s="107"/>
      <c r="BI514" s="107"/>
      <c r="BJ514" s="107">
        <v>170.77948</v>
      </c>
      <c r="BK514" s="107"/>
      <c r="BL514" s="107"/>
      <c r="BM514" s="107">
        <v>271.32</v>
      </c>
      <c r="BN514" s="107"/>
      <c r="BO514" s="107"/>
      <c r="BP514" s="107"/>
      <c r="BQ514" s="109"/>
      <c r="BR514" s="109"/>
      <c r="BS514" s="109"/>
      <c r="BT514" s="109"/>
      <c r="BU514" s="138"/>
    </row>
    <row r="515" spans="1:73" ht="39.75" customHeight="1" outlineLevel="2">
      <c r="A515" s="24" t="s">
        <v>999</v>
      </c>
      <c r="B515" s="19" t="s">
        <v>652</v>
      </c>
      <c r="C515" s="20" t="s">
        <v>1496</v>
      </c>
      <c r="D515" s="218" t="s">
        <v>1699</v>
      </c>
      <c r="E515" s="203" t="s">
        <v>2319</v>
      </c>
      <c r="F515" s="108">
        <f t="shared" si="86"/>
        <v>933.17021</v>
      </c>
      <c r="G515" s="106">
        <f t="shared" si="93"/>
        <v>486.42876</v>
      </c>
      <c r="H515" s="106">
        <f t="shared" si="94"/>
        <v>446.74145</v>
      </c>
      <c r="I515" s="107"/>
      <c r="J515" s="107"/>
      <c r="K515" s="107">
        <v>82.11912</v>
      </c>
      <c r="L515" s="107">
        <v>11.51068</v>
      </c>
      <c r="M515" s="107"/>
      <c r="N515" s="107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7"/>
      <c r="Z515" s="107"/>
      <c r="AA515" s="159">
        <v>157.16923</v>
      </c>
      <c r="AB515" s="106">
        <v>89.13289</v>
      </c>
      <c r="AC515" s="107"/>
      <c r="AD515" s="107"/>
      <c r="AE515" s="107"/>
      <c r="AF515" s="107"/>
      <c r="AG515" s="107"/>
      <c r="AH515" s="107"/>
      <c r="AI515" s="107"/>
      <c r="AJ515" s="108">
        <v>103.73532</v>
      </c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7"/>
      <c r="AV515" s="107"/>
      <c r="AW515" s="107"/>
      <c r="AX515" s="107"/>
      <c r="AY515" s="106"/>
      <c r="AZ515" s="107"/>
      <c r="BA515" s="107"/>
      <c r="BB515" s="107"/>
      <c r="BC515" s="107">
        <v>247.14041</v>
      </c>
      <c r="BD515" s="107">
        <v>242.36256</v>
      </c>
      <c r="BE515" s="107"/>
      <c r="BF515" s="107"/>
      <c r="BG515" s="107"/>
      <c r="BH515" s="107"/>
      <c r="BI515" s="107"/>
      <c r="BJ515" s="107"/>
      <c r="BK515" s="107"/>
      <c r="BL515" s="107"/>
      <c r="BM515" s="107"/>
      <c r="BN515" s="107"/>
      <c r="BO515" s="107"/>
      <c r="BP515" s="107"/>
      <c r="BQ515" s="109"/>
      <c r="BR515" s="109"/>
      <c r="BS515" s="109"/>
      <c r="BT515" s="109"/>
      <c r="BU515" s="138"/>
    </row>
    <row r="516" spans="1:73" ht="43.5" customHeight="1" outlineLevel="2">
      <c r="A516" s="24" t="s">
        <v>999</v>
      </c>
      <c r="B516" s="37" t="s">
        <v>313</v>
      </c>
      <c r="C516" s="20" t="s">
        <v>1496</v>
      </c>
      <c r="D516" s="218" t="s">
        <v>314</v>
      </c>
      <c r="E516" s="203" t="s">
        <v>2316</v>
      </c>
      <c r="F516" s="108">
        <f t="shared" si="86"/>
        <v>4902.1895700000005</v>
      </c>
      <c r="G516" s="106">
        <f t="shared" si="93"/>
        <v>1907.83264</v>
      </c>
      <c r="H516" s="106">
        <f t="shared" si="94"/>
        <v>2994.35693</v>
      </c>
      <c r="I516" s="106"/>
      <c r="J516" s="106"/>
      <c r="K516" s="107">
        <v>503.77344</v>
      </c>
      <c r="L516" s="107">
        <v>114.43637</v>
      </c>
      <c r="M516" s="107">
        <v>155.83762</v>
      </c>
      <c r="N516" s="107"/>
      <c r="O516" s="106"/>
      <c r="P516" s="106"/>
      <c r="Q516" s="106"/>
      <c r="R516" s="106"/>
      <c r="S516" s="106">
        <f>50.97742+7.0328</f>
        <v>58.010220000000004</v>
      </c>
      <c r="T516" s="106">
        <v>29.02012</v>
      </c>
      <c r="U516" s="106"/>
      <c r="V516" s="106"/>
      <c r="W516" s="106"/>
      <c r="X516" s="106"/>
      <c r="Y516" s="107"/>
      <c r="Z516" s="107"/>
      <c r="AA516" s="159">
        <f>297.64995+90.01511</f>
        <v>387.66506</v>
      </c>
      <c r="AB516" s="106">
        <f>196.48851+59.42193</f>
        <v>255.91044</v>
      </c>
      <c r="AC516" s="107"/>
      <c r="AD516" s="107"/>
      <c r="AE516" s="107"/>
      <c r="AF516" s="107"/>
      <c r="AG516" s="107"/>
      <c r="AH516" s="107"/>
      <c r="AI516" s="107"/>
      <c r="AJ516" s="108">
        <v>389.78097</v>
      </c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7"/>
      <c r="AV516" s="107"/>
      <c r="AW516" s="107"/>
      <c r="AX516" s="107"/>
      <c r="AY516" s="106"/>
      <c r="AZ516" s="107"/>
      <c r="BA516" s="107"/>
      <c r="BB516" s="107"/>
      <c r="BC516" s="107">
        <v>958.38392</v>
      </c>
      <c r="BD516" s="107">
        <v>939.82851</v>
      </c>
      <c r="BE516" s="107"/>
      <c r="BF516" s="107"/>
      <c r="BG516" s="107"/>
      <c r="BH516" s="107"/>
      <c r="BI516" s="107"/>
      <c r="BJ516" s="107">
        <v>1109.5429</v>
      </c>
      <c r="BK516" s="107"/>
      <c r="BL516" s="107"/>
      <c r="BM516" s="107"/>
      <c r="BN516" s="107"/>
      <c r="BO516" s="107"/>
      <c r="BP516" s="107"/>
      <c r="BQ516" s="109"/>
      <c r="BR516" s="109"/>
      <c r="BS516" s="109"/>
      <c r="BT516" s="109"/>
      <c r="BU516" s="138"/>
    </row>
    <row r="517" spans="1:73" ht="30.75" customHeight="1" outlineLevel="2">
      <c r="A517" s="35" t="s">
        <v>999</v>
      </c>
      <c r="B517" s="37" t="s">
        <v>315</v>
      </c>
      <c r="C517" s="20" t="s">
        <v>1496</v>
      </c>
      <c r="D517" s="218" t="s">
        <v>316</v>
      </c>
      <c r="E517" s="203" t="s">
        <v>2318</v>
      </c>
      <c r="F517" s="108">
        <f t="shared" si="86"/>
        <v>1157.85813</v>
      </c>
      <c r="G517" s="106">
        <f t="shared" si="93"/>
        <v>356.13644</v>
      </c>
      <c r="H517" s="106">
        <f t="shared" si="94"/>
        <v>801.7216900000001</v>
      </c>
      <c r="I517" s="107"/>
      <c r="J517" s="107"/>
      <c r="K517" s="107"/>
      <c r="L517" s="107"/>
      <c r="M517" s="107"/>
      <c r="N517" s="107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7"/>
      <c r="Z517" s="107"/>
      <c r="AA517" s="159">
        <v>134.30826</v>
      </c>
      <c r="AB517" s="106">
        <v>63.38339</v>
      </c>
      <c r="AC517" s="107"/>
      <c r="AD517" s="107"/>
      <c r="AE517" s="107"/>
      <c r="AF517" s="107"/>
      <c r="AG517" s="107"/>
      <c r="AH517" s="107"/>
      <c r="AI517" s="107"/>
      <c r="AJ517" s="108">
        <v>0</v>
      </c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7"/>
      <c r="AV517" s="107"/>
      <c r="AW517" s="107">
        <v>208.52</v>
      </c>
      <c r="AX517" s="107"/>
      <c r="AY517" s="106"/>
      <c r="AZ517" s="107"/>
      <c r="BA517" s="107"/>
      <c r="BB517" s="107"/>
      <c r="BC517" s="107">
        <v>221.82818</v>
      </c>
      <c r="BD517" s="107">
        <v>217.53022</v>
      </c>
      <c r="BE517" s="107"/>
      <c r="BF517" s="107"/>
      <c r="BG517" s="107"/>
      <c r="BH517" s="107"/>
      <c r="BI517" s="107"/>
      <c r="BJ517" s="107"/>
      <c r="BK517" s="107"/>
      <c r="BL517" s="107"/>
      <c r="BM517" s="107">
        <v>312.28808</v>
      </c>
      <c r="BN517" s="107"/>
      <c r="BO517" s="107"/>
      <c r="BP517" s="107"/>
      <c r="BQ517" s="109"/>
      <c r="BR517" s="109"/>
      <c r="BS517" s="109"/>
      <c r="BT517" s="109"/>
      <c r="BU517" s="138"/>
    </row>
    <row r="518" spans="1:73" ht="31.5" customHeight="1" outlineLevel="2">
      <c r="A518" s="24" t="s">
        <v>999</v>
      </c>
      <c r="B518" s="37" t="s">
        <v>1723</v>
      </c>
      <c r="C518" s="20" t="s">
        <v>1496</v>
      </c>
      <c r="D518" s="218" t="s">
        <v>1724</v>
      </c>
      <c r="E518" s="203" t="s">
        <v>2320</v>
      </c>
      <c r="F518" s="108">
        <f t="shared" si="86"/>
        <v>7430.31862</v>
      </c>
      <c r="G518" s="106">
        <f t="shared" si="93"/>
        <v>3544.20302</v>
      </c>
      <c r="H518" s="106">
        <f t="shared" si="94"/>
        <v>3886.1156</v>
      </c>
      <c r="I518" s="107"/>
      <c r="J518" s="107"/>
      <c r="K518" s="107"/>
      <c r="L518" s="107"/>
      <c r="M518" s="107">
        <v>121.84316</v>
      </c>
      <c r="N518" s="107"/>
      <c r="O518" s="106"/>
      <c r="P518" s="106"/>
      <c r="Q518" s="106"/>
      <c r="R518" s="106"/>
      <c r="S518" s="106"/>
      <c r="T518" s="106"/>
      <c r="U518" s="106"/>
      <c r="V518" s="106"/>
      <c r="W518" s="106">
        <v>1189.34541</v>
      </c>
      <c r="X518" s="106">
        <v>620.92158</v>
      </c>
      <c r="Y518" s="107">
        <v>66.45659</v>
      </c>
      <c r="Z518" s="107">
        <v>71.112</v>
      </c>
      <c r="AA518" s="159">
        <v>1100.14892</v>
      </c>
      <c r="AB518" s="106">
        <v>677.40997</v>
      </c>
      <c r="AC518" s="107"/>
      <c r="AD518" s="107"/>
      <c r="AE518" s="107"/>
      <c r="AF518" s="107"/>
      <c r="AG518" s="107"/>
      <c r="AH518" s="107"/>
      <c r="AI518" s="107"/>
      <c r="AJ518" s="108">
        <v>1229.59676</v>
      </c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7"/>
      <c r="AV518" s="107"/>
      <c r="AW518" s="107"/>
      <c r="AX518" s="107"/>
      <c r="AY518" s="106"/>
      <c r="AZ518" s="107"/>
      <c r="BA518" s="107"/>
      <c r="BB518" s="107"/>
      <c r="BC518" s="107">
        <v>1188.2521</v>
      </c>
      <c r="BD518" s="107">
        <v>1165.23213</v>
      </c>
      <c r="BE518" s="107"/>
      <c r="BF518" s="107"/>
      <c r="BG518" s="107"/>
      <c r="BH518" s="107"/>
      <c r="BI518" s="107"/>
      <c r="BJ518" s="107"/>
      <c r="BK518" s="107"/>
      <c r="BL518" s="107"/>
      <c r="BM518" s="107"/>
      <c r="BN518" s="107"/>
      <c r="BO518" s="107"/>
      <c r="BP518" s="107"/>
      <c r="BQ518" s="109"/>
      <c r="BR518" s="109"/>
      <c r="BS518" s="109"/>
      <c r="BT518" s="109"/>
      <c r="BU518" s="138"/>
    </row>
    <row r="519" spans="1:73" ht="30.75" customHeight="1" outlineLevel="2">
      <c r="A519" s="24" t="s">
        <v>999</v>
      </c>
      <c r="B519" s="37" t="s">
        <v>217</v>
      </c>
      <c r="C519" s="20" t="s">
        <v>1496</v>
      </c>
      <c r="D519" s="218" t="s">
        <v>1698</v>
      </c>
      <c r="E519" s="203" t="s">
        <v>2317</v>
      </c>
      <c r="F519" s="108">
        <f t="shared" si="86"/>
        <v>830.14964</v>
      </c>
      <c r="G519" s="106">
        <f t="shared" si="93"/>
        <v>444.45174999999995</v>
      </c>
      <c r="H519" s="106">
        <f t="shared" si="94"/>
        <v>385.69789000000003</v>
      </c>
      <c r="I519" s="106"/>
      <c r="J519" s="106"/>
      <c r="K519" s="107">
        <v>105.45358</v>
      </c>
      <c r="L519" s="107">
        <v>23.42818</v>
      </c>
      <c r="M519" s="107"/>
      <c r="N519" s="107"/>
      <c r="O519" s="106"/>
      <c r="P519" s="106"/>
      <c r="Q519" s="106"/>
      <c r="R519" s="106"/>
      <c r="S519" s="106">
        <f>12.31905+3.03018</f>
        <v>15.34923</v>
      </c>
      <c r="T519" s="106">
        <v>7.67462</v>
      </c>
      <c r="U519" s="106"/>
      <c r="V519" s="106"/>
      <c r="W519" s="106"/>
      <c r="X519" s="106"/>
      <c r="Y519" s="107"/>
      <c r="Z519" s="107"/>
      <c r="AA519" s="159">
        <v>130.18058</v>
      </c>
      <c r="AB519" s="106">
        <v>79.22924</v>
      </c>
      <c r="AC519" s="107"/>
      <c r="AD519" s="107"/>
      <c r="AE519" s="107"/>
      <c r="AF519" s="107"/>
      <c r="AG519" s="107"/>
      <c r="AH519" s="107"/>
      <c r="AI519" s="107"/>
      <c r="AJ519" s="108">
        <v>85.63952</v>
      </c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7"/>
      <c r="AV519" s="107"/>
      <c r="AW519" s="107"/>
      <c r="AX519" s="107"/>
      <c r="AY519" s="106"/>
      <c r="AZ519" s="107"/>
      <c r="BA519" s="107"/>
      <c r="BB519" s="107"/>
      <c r="BC519" s="107">
        <v>193.46836</v>
      </c>
      <c r="BD519" s="107">
        <v>189.72633</v>
      </c>
      <c r="BE519" s="107"/>
      <c r="BF519" s="107"/>
      <c r="BG519" s="107"/>
      <c r="BH519" s="107"/>
      <c r="BI519" s="107"/>
      <c r="BJ519" s="107"/>
      <c r="BK519" s="107"/>
      <c r="BL519" s="107"/>
      <c r="BM519" s="107"/>
      <c r="BN519" s="107"/>
      <c r="BO519" s="107"/>
      <c r="BP519" s="107"/>
      <c r="BQ519" s="109"/>
      <c r="BR519" s="109"/>
      <c r="BS519" s="109"/>
      <c r="BT519" s="109"/>
      <c r="BU519" s="138"/>
    </row>
    <row r="520" spans="1:73" ht="39.75" customHeight="1" outlineLevel="2">
      <c r="A520" s="35" t="s">
        <v>999</v>
      </c>
      <c r="B520" s="37" t="s">
        <v>322</v>
      </c>
      <c r="C520" s="20" t="s">
        <v>1422</v>
      </c>
      <c r="D520" s="218" t="s">
        <v>317</v>
      </c>
      <c r="E520" s="203" t="s">
        <v>2800</v>
      </c>
      <c r="F520" s="108">
        <f t="shared" si="86"/>
        <v>761.53983</v>
      </c>
      <c r="G520" s="106">
        <f t="shared" si="93"/>
        <v>0</v>
      </c>
      <c r="H520" s="106">
        <f t="shared" si="94"/>
        <v>761.53983</v>
      </c>
      <c r="I520" s="106"/>
      <c r="J520" s="106"/>
      <c r="K520" s="107"/>
      <c r="L520" s="107"/>
      <c r="M520" s="107"/>
      <c r="N520" s="107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7"/>
      <c r="Z520" s="107"/>
      <c r="AA520" s="159"/>
      <c r="AB520" s="106"/>
      <c r="AC520" s="107"/>
      <c r="AD520" s="107"/>
      <c r="AE520" s="107"/>
      <c r="AF520" s="107"/>
      <c r="AG520" s="107"/>
      <c r="AH520" s="107"/>
      <c r="AI520" s="107"/>
      <c r="AJ520" s="108">
        <v>0</v>
      </c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7"/>
      <c r="AV520" s="107"/>
      <c r="AW520" s="107"/>
      <c r="AX520" s="107"/>
      <c r="AY520" s="106"/>
      <c r="AZ520" s="107"/>
      <c r="BA520" s="107">
        <v>761.53983</v>
      </c>
      <c r="BB520" s="107"/>
      <c r="BC520" s="107"/>
      <c r="BD520" s="107"/>
      <c r="BE520" s="107"/>
      <c r="BF520" s="107"/>
      <c r="BG520" s="107"/>
      <c r="BH520" s="107"/>
      <c r="BI520" s="107"/>
      <c r="BJ520" s="107"/>
      <c r="BK520" s="107"/>
      <c r="BL520" s="107"/>
      <c r="BM520" s="107"/>
      <c r="BN520" s="107"/>
      <c r="BO520" s="107"/>
      <c r="BP520" s="107"/>
      <c r="BQ520" s="109"/>
      <c r="BR520" s="109"/>
      <c r="BS520" s="109"/>
      <c r="BT520" s="109"/>
      <c r="BU520" s="138"/>
    </row>
    <row r="521" spans="1:73" ht="39" customHeight="1" outlineLevel="2">
      <c r="A521" s="24" t="s">
        <v>999</v>
      </c>
      <c r="B521" s="37" t="s">
        <v>855</v>
      </c>
      <c r="C521" s="20" t="s">
        <v>587</v>
      </c>
      <c r="D521" s="218" t="s">
        <v>856</v>
      </c>
      <c r="E521" s="220" t="s">
        <v>2321</v>
      </c>
      <c r="F521" s="108">
        <f t="shared" si="86"/>
        <v>108.59947</v>
      </c>
      <c r="G521" s="106">
        <f t="shared" si="93"/>
        <v>49.20044</v>
      </c>
      <c r="H521" s="106">
        <f t="shared" si="94"/>
        <v>59.399029999999996</v>
      </c>
      <c r="I521" s="107"/>
      <c r="J521" s="107"/>
      <c r="K521" s="107"/>
      <c r="L521" s="107"/>
      <c r="M521" s="107"/>
      <c r="N521" s="107"/>
      <c r="O521" s="106">
        <v>14.9493</v>
      </c>
      <c r="P521" s="106">
        <v>0.67484</v>
      </c>
      <c r="Q521" s="106"/>
      <c r="R521" s="106"/>
      <c r="S521" s="106"/>
      <c r="T521" s="106"/>
      <c r="U521" s="106"/>
      <c r="V521" s="106"/>
      <c r="W521" s="106"/>
      <c r="X521" s="106"/>
      <c r="Y521" s="107"/>
      <c r="Z521" s="107"/>
      <c r="AA521" s="159">
        <v>7.85846</v>
      </c>
      <c r="AB521" s="106">
        <v>5.94219</v>
      </c>
      <c r="AC521" s="107"/>
      <c r="AD521" s="107"/>
      <c r="AE521" s="107"/>
      <c r="AF521" s="107"/>
      <c r="AG521" s="107"/>
      <c r="AH521" s="107"/>
      <c r="AI521" s="107"/>
      <c r="AJ521" s="108">
        <v>0</v>
      </c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7"/>
      <c r="AV521" s="107"/>
      <c r="AW521" s="107"/>
      <c r="AX521" s="107"/>
      <c r="AY521" s="106"/>
      <c r="AZ521" s="107">
        <v>26.901</v>
      </c>
      <c r="BA521" s="107"/>
      <c r="BB521" s="107"/>
      <c r="BC521" s="107">
        <v>26.39268</v>
      </c>
      <c r="BD521" s="107">
        <v>25.881</v>
      </c>
      <c r="BE521" s="107"/>
      <c r="BF521" s="107"/>
      <c r="BG521" s="107"/>
      <c r="BH521" s="107"/>
      <c r="BI521" s="107"/>
      <c r="BJ521" s="107"/>
      <c r="BK521" s="107"/>
      <c r="BL521" s="107"/>
      <c r="BM521" s="107"/>
      <c r="BN521" s="107"/>
      <c r="BO521" s="107"/>
      <c r="BP521" s="107"/>
      <c r="BQ521" s="109"/>
      <c r="BR521" s="109"/>
      <c r="BS521" s="109"/>
      <c r="BT521" s="109"/>
      <c r="BU521" s="138"/>
    </row>
    <row r="522" spans="1:73" ht="39" customHeight="1" outlineLevel="2">
      <c r="A522" s="24" t="s">
        <v>999</v>
      </c>
      <c r="B522" s="37" t="s">
        <v>558</v>
      </c>
      <c r="C522" s="20" t="s">
        <v>587</v>
      </c>
      <c r="D522" s="218" t="s">
        <v>406</v>
      </c>
      <c r="E522" s="220" t="s">
        <v>2322</v>
      </c>
      <c r="F522" s="108">
        <f t="shared" si="86"/>
        <v>50.01773</v>
      </c>
      <c r="G522" s="106">
        <f t="shared" si="93"/>
        <v>26.84283</v>
      </c>
      <c r="H522" s="106">
        <f t="shared" si="94"/>
        <v>23.174899999999997</v>
      </c>
      <c r="I522" s="107"/>
      <c r="J522" s="107"/>
      <c r="K522" s="107"/>
      <c r="L522" s="107"/>
      <c r="M522" s="107"/>
      <c r="N522" s="107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7"/>
      <c r="Z522" s="107"/>
      <c r="AA522" s="159">
        <v>10.2795</v>
      </c>
      <c r="AB522" s="106">
        <v>6.93256</v>
      </c>
      <c r="AC522" s="107"/>
      <c r="AD522" s="107"/>
      <c r="AE522" s="107"/>
      <c r="AF522" s="107"/>
      <c r="AG522" s="107"/>
      <c r="AH522" s="107"/>
      <c r="AI522" s="107"/>
      <c r="AJ522" s="108">
        <v>0</v>
      </c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7"/>
      <c r="AV522" s="107"/>
      <c r="AW522" s="107"/>
      <c r="AX522" s="107"/>
      <c r="AY522" s="106"/>
      <c r="AZ522" s="107"/>
      <c r="BA522" s="107"/>
      <c r="BB522" s="107"/>
      <c r="BC522" s="107">
        <v>16.56333</v>
      </c>
      <c r="BD522" s="107">
        <v>16.24234</v>
      </c>
      <c r="BE522" s="107"/>
      <c r="BF522" s="107"/>
      <c r="BG522" s="107"/>
      <c r="BH522" s="107"/>
      <c r="BI522" s="107"/>
      <c r="BJ522" s="107"/>
      <c r="BK522" s="107"/>
      <c r="BL522" s="107"/>
      <c r="BM522" s="107"/>
      <c r="BN522" s="107"/>
      <c r="BO522" s="107"/>
      <c r="BP522" s="107"/>
      <c r="BQ522" s="109"/>
      <c r="BR522" s="109"/>
      <c r="BS522" s="109"/>
      <c r="BT522" s="109"/>
      <c r="BU522" s="138"/>
    </row>
    <row r="523" spans="1:73" ht="39" customHeight="1" outlineLevel="2">
      <c r="A523" s="24" t="s">
        <v>999</v>
      </c>
      <c r="B523" s="37" t="s">
        <v>194</v>
      </c>
      <c r="C523" s="20" t="s">
        <v>587</v>
      </c>
      <c r="D523" s="218" t="s">
        <v>1492</v>
      </c>
      <c r="E523" s="220" t="s">
        <v>2323</v>
      </c>
      <c r="F523" s="108">
        <f t="shared" si="86"/>
        <v>202.34838000000002</v>
      </c>
      <c r="G523" s="106">
        <f t="shared" si="93"/>
        <v>96.36366000000001</v>
      </c>
      <c r="H523" s="106">
        <f t="shared" si="94"/>
        <v>105.98472</v>
      </c>
      <c r="I523" s="107"/>
      <c r="J523" s="107"/>
      <c r="K523" s="107"/>
      <c r="L523" s="107"/>
      <c r="M523" s="107"/>
      <c r="N523" s="107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7">
        <v>1.52</v>
      </c>
      <c r="Z523" s="107">
        <v>3.993</v>
      </c>
      <c r="AA523" s="159">
        <v>40.72112</v>
      </c>
      <c r="AB523" s="106">
        <v>22.58033</v>
      </c>
      <c r="AC523" s="107"/>
      <c r="AD523" s="107"/>
      <c r="AE523" s="107"/>
      <c r="AF523" s="107"/>
      <c r="AG523" s="107"/>
      <c r="AH523" s="107"/>
      <c r="AI523" s="107"/>
      <c r="AJ523" s="108">
        <v>26.33712</v>
      </c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7"/>
      <c r="AV523" s="107"/>
      <c r="AW523" s="107"/>
      <c r="AX523" s="107"/>
      <c r="AY523" s="106"/>
      <c r="AZ523" s="107"/>
      <c r="BA523" s="107"/>
      <c r="BB523" s="107"/>
      <c r="BC523" s="107">
        <v>54.12254</v>
      </c>
      <c r="BD523" s="107">
        <v>53.07427</v>
      </c>
      <c r="BE523" s="107"/>
      <c r="BF523" s="107"/>
      <c r="BG523" s="107"/>
      <c r="BH523" s="107"/>
      <c r="BI523" s="107"/>
      <c r="BJ523" s="107"/>
      <c r="BK523" s="107"/>
      <c r="BL523" s="107"/>
      <c r="BM523" s="107"/>
      <c r="BN523" s="107"/>
      <c r="BO523" s="107"/>
      <c r="BP523" s="107"/>
      <c r="BQ523" s="109"/>
      <c r="BR523" s="109"/>
      <c r="BS523" s="109"/>
      <c r="BT523" s="109"/>
      <c r="BU523" s="138"/>
    </row>
    <row r="524" spans="1:73" ht="39" customHeight="1" outlineLevel="2">
      <c r="A524" s="24" t="s">
        <v>999</v>
      </c>
      <c r="B524" s="37" t="s">
        <v>195</v>
      </c>
      <c r="C524" s="20" t="s">
        <v>587</v>
      </c>
      <c r="D524" s="218" t="s">
        <v>1493</v>
      </c>
      <c r="E524" s="220" t="s">
        <v>2324</v>
      </c>
      <c r="F524" s="108">
        <f t="shared" si="86"/>
        <v>1127.8254299999999</v>
      </c>
      <c r="G524" s="106">
        <f t="shared" si="93"/>
        <v>369.52973999999995</v>
      </c>
      <c r="H524" s="106">
        <f t="shared" si="94"/>
        <v>758.29569</v>
      </c>
      <c r="I524" s="107"/>
      <c r="J524" s="107"/>
      <c r="K524" s="107"/>
      <c r="L524" s="107"/>
      <c r="M524" s="107"/>
      <c r="N524" s="107"/>
      <c r="O524" s="106">
        <v>60.77448</v>
      </c>
      <c r="P524" s="106">
        <v>3.19866</v>
      </c>
      <c r="Q524" s="106"/>
      <c r="R524" s="106"/>
      <c r="S524" s="106"/>
      <c r="T524" s="106"/>
      <c r="U524" s="106"/>
      <c r="V524" s="106"/>
      <c r="W524" s="106"/>
      <c r="X524" s="106"/>
      <c r="Y524" s="107"/>
      <c r="Z524" s="107"/>
      <c r="AA524" s="159">
        <f>32.74359+130.97436</f>
        <v>163.71794999999997</v>
      </c>
      <c r="AB524" s="106">
        <f>19.80731+79.22924</f>
        <v>99.03655</v>
      </c>
      <c r="AC524" s="107"/>
      <c r="AD524" s="107"/>
      <c r="AE524" s="107"/>
      <c r="AF524" s="107"/>
      <c r="AG524" s="107"/>
      <c r="AH524" s="107"/>
      <c r="AI524" s="107"/>
      <c r="AJ524" s="108">
        <v>49.2724</v>
      </c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7"/>
      <c r="AV524" s="107"/>
      <c r="AW524" s="107"/>
      <c r="AX524" s="107"/>
      <c r="AY524" s="106"/>
      <c r="AZ524" s="107"/>
      <c r="BA524" s="107"/>
      <c r="BB524" s="107"/>
      <c r="BC524" s="107">
        <v>145.03731</v>
      </c>
      <c r="BD524" s="107">
        <v>142.2298</v>
      </c>
      <c r="BE524" s="107">
        <v>30</v>
      </c>
      <c r="BF524" s="107"/>
      <c r="BG524" s="107"/>
      <c r="BH524" s="107"/>
      <c r="BI524" s="107"/>
      <c r="BJ524" s="107">
        <v>157.29689</v>
      </c>
      <c r="BK524" s="107"/>
      <c r="BL524" s="107"/>
      <c r="BM524" s="107">
        <v>277.26139</v>
      </c>
      <c r="BN524" s="107"/>
      <c r="BO524" s="107"/>
      <c r="BP524" s="107"/>
      <c r="BQ524" s="109"/>
      <c r="BR524" s="109"/>
      <c r="BS524" s="109"/>
      <c r="BT524" s="109"/>
      <c r="BU524" s="138"/>
    </row>
    <row r="525" spans="1:73" ht="39" customHeight="1" outlineLevel="2">
      <c r="A525" s="24" t="s">
        <v>999</v>
      </c>
      <c r="B525" s="37" t="s">
        <v>196</v>
      </c>
      <c r="C525" s="20" t="s">
        <v>587</v>
      </c>
      <c r="D525" s="218" t="s">
        <v>409</v>
      </c>
      <c r="E525" s="220" t="s">
        <v>2325</v>
      </c>
      <c r="F525" s="108">
        <f t="shared" si="86"/>
        <v>76.60086000000001</v>
      </c>
      <c r="G525" s="106">
        <f t="shared" si="93"/>
        <v>37.46634</v>
      </c>
      <c r="H525" s="106">
        <f t="shared" si="94"/>
        <v>39.13452</v>
      </c>
      <c r="I525" s="107"/>
      <c r="J525" s="107"/>
      <c r="K525" s="107"/>
      <c r="L525" s="107"/>
      <c r="M525" s="107"/>
      <c r="N525" s="107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7"/>
      <c r="Z525" s="107"/>
      <c r="AA525" s="159">
        <v>20.86957</v>
      </c>
      <c r="AB525" s="106">
        <v>14.61779</v>
      </c>
      <c r="AC525" s="107"/>
      <c r="AD525" s="107"/>
      <c r="AE525" s="107"/>
      <c r="AF525" s="107"/>
      <c r="AG525" s="107"/>
      <c r="AH525" s="107"/>
      <c r="AI525" s="107"/>
      <c r="AJ525" s="108">
        <v>8.24132</v>
      </c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7"/>
      <c r="AV525" s="107"/>
      <c r="AW525" s="107"/>
      <c r="AX525" s="107"/>
      <c r="AY525" s="106"/>
      <c r="AZ525" s="107"/>
      <c r="BA525" s="107"/>
      <c r="BB525" s="107"/>
      <c r="BC525" s="107">
        <v>16.59677</v>
      </c>
      <c r="BD525" s="107">
        <v>16.27541</v>
      </c>
      <c r="BE525" s="107"/>
      <c r="BF525" s="107"/>
      <c r="BG525" s="107"/>
      <c r="BH525" s="107"/>
      <c r="BI525" s="107"/>
      <c r="BJ525" s="107"/>
      <c r="BK525" s="107"/>
      <c r="BL525" s="107"/>
      <c r="BM525" s="107"/>
      <c r="BN525" s="107"/>
      <c r="BO525" s="107"/>
      <c r="BP525" s="107"/>
      <c r="BQ525" s="109"/>
      <c r="BR525" s="109"/>
      <c r="BS525" s="109"/>
      <c r="BT525" s="109"/>
      <c r="BU525" s="138"/>
    </row>
    <row r="526" spans="1:73" ht="39" customHeight="1" outlineLevel="2">
      <c r="A526" s="24" t="s">
        <v>999</v>
      </c>
      <c r="B526" s="37" t="s">
        <v>197</v>
      </c>
      <c r="C526" s="20" t="s">
        <v>587</v>
      </c>
      <c r="D526" s="218" t="s">
        <v>479</v>
      </c>
      <c r="E526" s="220" t="s">
        <v>2326</v>
      </c>
      <c r="F526" s="108">
        <f t="shared" si="86"/>
        <v>73.57164</v>
      </c>
      <c r="G526" s="106">
        <f t="shared" si="93"/>
        <v>34.33675</v>
      </c>
      <c r="H526" s="106">
        <f t="shared" si="94"/>
        <v>39.23488999999999</v>
      </c>
      <c r="I526" s="107"/>
      <c r="J526" s="107"/>
      <c r="K526" s="107"/>
      <c r="L526" s="107"/>
      <c r="M526" s="107"/>
      <c r="N526" s="107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7"/>
      <c r="Z526" s="107"/>
      <c r="AA526" s="159">
        <v>10.89766</v>
      </c>
      <c r="AB526" s="106">
        <v>6.93256</v>
      </c>
      <c r="AC526" s="107"/>
      <c r="AD526" s="107"/>
      <c r="AE526" s="107"/>
      <c r="AF526" s="107"/>
      <c r="AG526" s="107"/>
      <c r="AH526" s="107"/>
      <c r="AI526" s="107"/>
      <c r="AJ526" s="108">
        <v>9.316759999999999</v>
      </c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7"/>
      <c r="AV526" s="107"/>
      <c r="AW526" s="107"/>
      <c r="AX526" s="107"/>
      <c r="AY526" s="106"/>
      <c r="AZ526" s="107"/>
      <c r="BA526" s="107"/>
      <c r="BB526" s="107"/>
      <c r="BC526" s="107">
        <v>23.43909</v>
      </c>
      <c r="BD526" s="107">
        <v>22.98557</v>
      </c>
      <c r="BE526" s="107"/>
      <c r="BF526" s="107"/>
      <c r="BG526" s="107"/>
      <c r="BH526" s="107"/>
      <c r="BI526" s="107"/>
      <c r="BJ526" s="107"/>
      <c r="BK526" s="107"/>
      <c r="BL526" s="107"/>
      <c r="BM526" s="107"/>
      <c r="BN526" s="107"/>
      <c r="BO526" s="107"/>
      <c r="BP526" s="107"/>
      <c r="BQ526" s="109"/>
      <c r="BR526" s="109"/>
      <c r="BS526" s="109"/>
      <c r="BT526" s="109"/>
      <c r="BU526" s="138"/>
    </row>
    <row r="527" spans="1:73" ht="39" customHeight="1" outlineLevel="2">
      <c r="A527" s="24" t="s">
        <v>999</v>
      </c>
      <c r="B527" s="37" t="s">
        <v>232</v>
      </c>
      <c r="C527" s="20" t="s">
        <v>587</v>
      </c>
      <c r="D527" s="218" t="s">
        <v>408</v>
      </c>
      <c r="E527" s="220" t="s">
        <v>2327</v>
      </c>
      <c r="F527" s="108">
        <f t="shared" si="86"/>
        <v>40.96633</v>
      </c>
      <c r="G527" s="106">
        <f t="shared" si="93"/>
        <v>22.01553</v>
      </c>
      <c r="H527" s="106">
        <f t="shared" si="94"/>
        <v>18.9508</v>
      </c>
      <c r="I527" s="107"/>
      <c r="J527" s="107"/>
      <c r="K527" s="107"/>
      <c r="L527" s="107"/>
      <c r="M527" s="107"/>
      <c r="N527" s="107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7"/>
      <c r="Z527" s="107"/>
      <c r="AA527" s="159">
        <v>12.78984</v>
      </c>
      <c r="AB527" s="106">
        <v>9.90365</v>
      </c>
      <c r="AC527" s="107"/>
      <c r="AD527" s="107"/>
      <c r="AE527" s="107"/>
      <c r="AF527" s="107"/>
      <c r="AG527" s="107"/>
      <c r="AH527" s="107"/>
      <c r="AI527" s="107"/>
      <c r="AJ527" s="108">
        <v>0</v>
      </c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7"/>
      <c r="AV527" s="107"/>
      <c r="AW527" s="107"/>
      <c r="AX527" s="107"/>
      <c r="AY527" s="106"/>
      <c r="AZ527" s="107"/>
      <c r="BA527" s="107"/>
      <c r="BB527" s="107"/>
      <c r="BC527" s="107">
        <v>9.22569</v>
      </c>
      <c r="BD527" s="107">
        <v>9.04715</v>
      </c>
      <c r="BE527" s="107"/>
      <c r="BF527" s="107"/>
      <c r="BG527" s="107"/>
      <c r="BH527" s="107"/>
      <c r="BI527" s="107"/>
      <c r="BJ527" s="107"/>
      <c r="BK527" s="107"/>
      <c r="BL527" s="107"/>
      <c r="BM527" s="107"/>
      <c r="BN527" s="107"/>
      <c r="BO527" s="107"/>
      <c r="BP527" s="107"/>
      <c r="BQ527" s="109"/>
      <c r="BR527" s="109"/>
      <c r="BS527" s="109"/>
      <c r="BT527" s="109"/>
      <c r="BU527" s="138"/>
    </row>
    <row r="528" spans="1:73" ht="39" customHeight="1" outlineLevel="2">
      <c r="A528" s="24" t="s">
        <v>999</v>
      </c>
      <c r="B528" s="37" t="s">
        <v>1624</v>
      </c>
      <c r="C528" s="20" t="s">
        <v>587</v>
      </c>
      <c r="D528" s="218" t="s">
        <v>1674</v>
      </c>
      <c r="E528" s="220" t="s">
        <v>2328</v>
      </c>
      <c r="F528" s="108">
        <f t="shared" si="86"/>
        <v>58.791320000000006</v>
      </c>
      <c r="G528" s="106">
        <f t="shared" si="93"/>
        <v>33.18245</v>
      </c>
      <c r="H528" s="106">
        <f t="shared" si="94"/>
        <v>25.608870000000003</v>
      </c>
      <c r="I528" s="107"/>
      <c r="J528" s="107"/>
      <c r="K528" s="107"/>
      <c r="L528" s="107"/>
      <c r="M528" s="107"/>
      <c r="N528" s="107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7"/>
      <c r="Z528" s="107"/>
      <c r="AA528" s="159">
        <v>17.16558</v>
      </c>
      <c r="AB528" s="106">
        <v>9.90365</v>
      </c>
      <c r="AC528" s="107"/>
      <c r="AD528" s="107"/>
      <c r="AE528" s="107"/>
      <c r="AF528" s="107"/>
      <c r="AG528" s="107"/>
      <c r="AH528" s="107"/>
      <c r="AI528" s="107"/>
      <c r="AJ528" s="108">
        <v>0</v>
      </c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7"/>
      <c r="AV528" s="107"/>
      <c r="AW528" s="107"/>
      <c r="AX528" s="107"/>
      <c r="AY528" s="106"/>
      <c r="AZ528" s="107"/>
      <c r="BA528" s="107"/>
      <c r="BB528" s="107"/>
      <c r="BC528" s="107">
        <v>16.01687</v>
      </c>
      <c r="BD528" s="107">
        <v>15.70522</v>
      </c>
      <c r="BE528" s="107"/>
      <c r="BF528" s="107"/>
      <c r="BG528" s="107"/>
      <c r="BH528" s="107"/>
      <c r="BI528" s="107"/>
      <c r="BJ528" s="107"/>
      <c r="BK528" s="107"/>
      <c r="BL528" s="107"/>
      <c r="BM528" s="107"/>
      <c r="BN528" s="107"/>
      <c r="BO528" s="107"/>
      <c r="BP528" s="107"/>
      <c r="BQ528" s="109"/>
      <c r="BR528" s="109"/>
      <c r="BS528" s="109"/>
      <c r="BT528" s="109"/>
      <c r="BU528" s="138"/>
    </row>
    <row r="529" spans="1:73" ht="39" customHeight="1" outlineLevel="2">
      <c r="A529" s="24" t="s">
        <v>999</v>
      </c>
      <c r="B529" s="37" t="s">
        <v>199</v>
      </c>
      <c r="C529" s="20" t="s">
        <v>587</v>
      </c>
      <c r="D529" s="218" t="s">
        <v>311</v>
      </c>
      <c r="E529" s="220" t="s">
        <v>2329</v>
      </c>
      <c r="F529" s="108">
        <f t="shared" si="86"/>
        <v>75.77556</v>
      </c>
      <c r="G529" s="106">
        <f t="shared" si="93"/>
        <v>35.50803</v>
      </c>
      <c r="H529" s="106">
        <f t="shared" si="94"/>
        <v>40.26753</v>
      </c>
      <c r="I529" s="107"/>
      <c r="J529" s="107"/>
      <c r="K529" s="107"/>
      <c r="L529" s="107"/>
      <c r="M529" s="107"/>
      <c r="N529" s="107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7"/>
      <c r="Z529" s="107"/>
      <c r="AA529" s="159">
        <v>12.02583</v>
      </c>
      <c r="AB529" s="106">
        <v>7.92292</v>
      </c>
      <c r="AC529" s="107"/>
      <c r="AD529" s="107"/>
      <c r="AE529" s="107"/>
      <c r="AF529" s="107"/>
      <c r="AG529" s="107"/>
      <c r="AH529" s="107"/>
      <c r="AI529" s="107"/>
      <c r="AJ529" s="108">
        <v>9.316759999999999</v>
      </c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7"/>
      <c r="AV529" s="107"/>
      <c r="AW529" s="107"/>
      <c r="AX529" s="107"/>
      <c r="AY529" s="106"/>
      <c r="AZ529" s="107"/>
      <c r="BA529" s="107"/>
      <c r="BB529" s="107"/>
      <c r="BC529" s="107">
        <v>23.4822</v>
      </c>
      <c r="BD529" s="107">
        <v>23.02785</v>
      </c>
      <c r="BE529" s="107"/>
      <c r="BF529" s="107"/>
      <c r="BG529" s="107"/>
      <c r="BH529" s="107"/>
      <c r="BI529" s="107"/>
      <c r="BJ529" s="107"/>
      <c r="BK529" s="107"/>
      <c r="BL529" s="107"/>
      <c r="BM529" s="107"/>
      <c r="BN529" s="107"/>
      <c r="BO529" s="107"/>
      <c r="BP529" s="107"/>
      <c r="BQ529" s="109"/>
      <c r="BR529" s="109"/>
      <c r="BS529" s="109"/>
      <c r="BT529" s="109"/>
      <c r="BU529" s="138"/>
    </row>
    <row r="530" spans="1:73" ht="39" customHeight="1" outlineLevel="2">
      <c r="A530" s="24" t="s">
        <v>999</v>
      </c>
      <c r="B530" s="37" t="s">
        <v>200</v>
      </c>
      <c r="C530" s="20" t="s">
        <v>587</v>
      </c>
      <c r="D530" s="218" t="s">
        <v>312</v>
      </c>
      <c r="E530" s="220" t="s">
        <v>2330</v>
      </c>
      <c r="F530" s="108">
        <f t="shared" si="86"/>
        <v>424.39877</v>
      </c>
      <c r="G530" s="106">
        <f t="shared" si="93"/>
        <v>134.12290000000002</v>
      </c>
      <c r="H530" s="106">
        <f t="shared" si="94"/>
        <v>290.27587</v>
      </c>
      <c r="I530" s="107"/>
      <c r="J530" s="107"/>
      <c r="K530" s="107"/>
      <c r="L530" s="107"/>
      <c r="M530" s="107"/>
      <c r="N530" s="107"/>
      <c r="O530" s="106">
        <v>2.78759</v>
      </c>
      <c r="P530" s="106">
        <v>0.14671</v>
      </c>
      <c r="Q530" s="106"/>
      <c r="R530" s="106"/>
      <c r="S530" s="106"/>
      <c r="T530" s="106"/>
      <c r="U530" s="106"/>
      <c r="V530" s="106"/>
      <c r="W530" s="106"/>
      <c r="X530" s="106"/>
      <c r="Y530" s="107">
        <v>8.41783</v>
      </c>
      <c r="Z530" s="107">
        <v>39.93</v>
      </c>
      <c r="AA530" s="159">
        <v>86.02634</v>
      </c>
      <c r="AB530" s="106">
        <v>33.67243</v>
      </c>
      <c r="AC530" s="107"/>
      <c r="AD530" s="107"/>
      <c r="AE530" s="107"/>
      <c r="AF530" s="107"/>
      <c r="AG530" s="107"/>
      <c r="AH530" s="107"/>
      <c r="AI530" s="107"/>
      <c r="AJ530" s="108">
        <v>17.55808</v>
      </c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7"/>
      <c r="AV530" s="107"/>
      <c r="AW530" s="107"/>
      <c r="AX530" s="107"/>
      <c r="AY530" s="106"/>
      <c r="AZ530" s="107"/>
      <c r="BA530" s="107"/>
      <c r="BB530" s="107"/>
      <c r="BC530" s="107">
        <v>36.89114</v>
      </c>
      <c r="BD530" s="107">
        <v>36.17665</v>
      </c>
      <c r="BE530" s="107"/>
      <c r="BF530" s="107"/>
      <c r="BG530" s="107"/>
      <c r="BH530" s="107"/>
      <c r="BI530" s="107"/>
      <c r="BJ530" s="107"/>
      <c r="BK530" s="107"/>
      <c r="BL530" s="107"/>
      <c r="BM530" s="107">
        <v>162.792</v>
      </c>
      <c r="BN530" s="107"/>
      <c r="BO530" s="107"/>
      <c r="BP530" s="107"/>
      <c r="BQ530" s="109"/>
      <c r="BR530" s="109"/>
      <c r="BS530" s="109"/>
      <c r="BT530" s="109"/>
      <c r="BU530" s="138"/>
    </row>
    <row r="531" spans="1:73" ht="39" customHeight="1" outlineLevel="2">
      <c r="A531" s="24" t="s">
        <v>999</v>
      </c>
      <c r="B531" s="37" t="s">
        <v>233</v>
      </c>
      <c r="C531" s="20" t="s">
        <v>587</v>
      </c>
      <c r="D531" s="218" t="s">
        <v>407</v>
      </c>
      <c r="E531" s="220" t="s">
        <v>2331</v>
      </c>
      <c r="F531" s="108">
        <f t="shared" si="86"/>
        <v>276.40492</v>
      </c>
      <c r="G531" s="106">
        <f t="shared" si="93"/>
        <v>59.10629</v>
      </c>
      <c r="H531" s="106">
        <f t="shared" si="94"/>
        <v>217.29863</v>
      </c>
      <c r="I531" s="107"/>
      <c r="J531" s="107"/>
      <c r="K531" s="107"/>
      <c r="L531" s="107"/>
      <c r="M531" s="107"/>
      <c r="N531" s="107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7"/>
      <c r="Z531" s="107"/>
      <c r="AA531" s="159"/>
      <c r="AB531" s="106"/>
      <c r="AC531" s="107"/>
      <c r="AD531" s="107"/>
      <c r="AE531" s="107"/>
      <c r="AF531" s="107"/>
      <c r="AG531" s="107"/>
      <c r="AH531" s="107"/>
      <c r="AI531" s="107"/>
      <c r="AJ531" s="108">
        <v>0</v>
      </c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7"/>
      <c r="AV531" s="107"/>
      <c r="AW531" s="107"/>
      <c r="AX531" s="107"/>
      <c r="AY531" s="106"/>
      <c r="AZ531" s="107"/>
      <c r="BA531" s="107"/>
      <c r="BB531" s="107"/>
      <c r="BC531" s="107">
        <v>59.10629</v>
      </c>
      <c r="BD531" s="107">
        <v>57.95892</v>
      </c>
      <c r="BE531" s="107"/>
      <c r="BF531" s="107"/>
      <c r="BG531" s="107"/>
      <c r="BH531" s="107"/>
      <c r="BI531" s="107"/>
      <c r="BJ531" s="107">
        <v>159.33971</v>
      </c>
      <c r="BK531" s="107"/>
      <c r="BL531" s="107"/>
      <c r="BM531" s="107"/>
      <c r="BN531" s="107"/>
      <c r="BO531" s="107"/>
      <c r="BP531" s="107"/>
      <c r="BQ531" s="109"/>
      <c r="BR531" s="109"/>
      <c r="BS531" s="109"/>
      <c r="BT531" s="109"/>
      <c r="BU531" s="138"/>
    </row>
    <row r="532" spans="1:73" ht="39" customHeight="1" outlineLevel="2">
      <c r="A532" s="24" t="s">
        <v>999</v>
      </c>
      <c r="B532" s="37" t="s">
        <v>1273</v>
      </c>
      <c r="C532" s="20" t="s">
        <v>587</v>
      </c>
      <c r="D532" s="218" t="s">
        <v>1574</v>
      </c>
      <c r="E532" s="220" t="s">
        <v>2332</v>
      </c>
      <c r="F532" s="108">
        <f t="shared" si="86"/>
        <v>159.92646</v>
      </c>
      <c r="G532" s="106">
        <f t="shared" si="93"/>
        <v>106.5766</v>
      </c>
      <c r="H532" s="106">
        <f t="shared" si="94"/>
        <v>53.34986</v>
      </c>
      <c r="I532" s="107"/>
      <c r="J532" s="107"/>
      <c r="K532" s="107"/>
      <c r="L532" s="107"/>
      <c r="M532" s="107"/>
      <c r="N532" s="107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7"/>
      <c r="Z532" s="107"/>
      <c r="AA532" s="159"/>
      <c r="AB532" s="106"/>
      <c r="AC532" s="107"/>
      <c r="AD532" s="107"/>
      <c r="AE532" s="107"/>
      <c r="AF532" s="107"/>
      <c r="AG532" s="107"/>
      <c r="AH532" s="107"/>
      <c r="AI532" s="107"/>
      <c r="AJ532" s="108">
        <v>0</v>
      </c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7"/>
      <c r="AV532" s="107"/>
      <c r="AW532" s="107"/>
      <c r="AX532" s="107">
        <v>106.5766</v>
      </c>
      <c r="AY532" s="106">
        <v>53.34986</v>
      </c>
      <c r="AZ532" s="107"/>
      <c r="BA532" s="107"/>
      <c r="BB532" s="107"/>
      <c r="BC532" s="107"/>
      <c r="BD532" s="107"/>
      <c r="BE532" s="107"/>
      <c r="BF532" s="107"/>
      <c r="BG532" s="107"/>
      <c r="BH532" s="107"/>
      <c r="BI532" s="107"/>
      <c r="BJ532" s="107"/>
      <c r="BK532" s="107"/>
      <c r="BL532" s="107"/>
      <c r="BM532" s="107"/>
      <c r="BN532" s="107"/>
      <c r="BO532" s="107"/>
      <c r="BP532" s="107"/>
      <c r="BQ532" s="109"/>
      <c r="BR532" s="109"/>
      <c r="BS532" s="109"/>
      <c r="BT532" s="109"/>
      <c r="BU532" s="138"/>
    </row>
    <row r="533" spans="1:73" ht="39" customHeight="1" outlineLevel="2">
      <c r="A533" s="24" t="s">
        <v>999</v>
      </c>
      <c r="B533" s="37" t="s">
        <v>202</v>
      </c>
      <c r="C533" s="20" t="s">
        <v>587</v>
      </c>
      <c r="D533" s="218" t="s">
        <v>1263</v>
      </c>
      <c r="E533" s="220" t="s">
        <v>2333</v>
      </c>
      <c r="F533" s="108">
        <f t="shared" si="86"/>
        <v>326.00839</v>
      </c>
      <c r="G533" s="106">
        <f t="shared" si="93"/>
        <v>150.65594000000002</v>
      </c>
      <c r="H533" s="106">
        <f t="shared" si="94"/>
        <v>175.35245</v>
      </c>
      <c r="I533" s="107"/>
      <c r="J533" s="107"/>
      <c r="K533" s="107"/>
      <c r="L533" s="107"/>
      <c r="M533" s="107"/>
      <c r="N533" s="107"/>
      <c r="O533" s="106">
        <f>0.89578+7.95617</f>
        <v>8.85195</v>
      </c>
      <c r="P533" s="106">
        <f>0.04714+3.97808</f>
        <v>4.02522</v>
      </c>
      <c r="Q533" s="106"/>
      <c r="R533" s="106"/>
      <c r="S533" s="106"/>
      <c r="T533" s="106"/>
      <c r="U533" s="106"/>
      <c r="V533" s="106"/>
      <c r="W533" s="106"/>
      <c r="X533" s="106"/>
      <c r="Y533" s="107"/>
      <c r="Z533" s="107"/>
      <c r="AA533" s="159">
        <v>30.95758</v>
      </c>
      <c r="AB533" s="106">
        <v>19.80731</v>
      </c>
      <c r="AC533" s="107"/>
      <c r="AD533" s="107"/>
      <c r="AE533" s="107"/>
      <c r="AF533" s="107"/>
      <c r="AG533" s="107"/>
      <c r="AH533" s="107"/>
      <c r="AI533" s="107"/>
      <c r="AJ533" s="108">
        <v>42.81976</v>
      </c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7"/>
      <c r="AV533" s="107"/>
      <c r="AW533" s="107"/>
      <c r="AX533" s="107"/>
      <c r="AY533" s="106"/>
      <c r="AZ533" s="107"/>
      <c r="BA533" s="107"/>
      <c r="BB533" s="107"/>
      <c r="BC533" s="107">
        <v>110.84641</v>
      </c>
      <c r="BD533" s="107">
        <v>108.70016</v>
      </c>
      <c r="BE533" s="107"/>
      <c r="BF533" s="107"/>
      <c r="BG533" s="107"/>
      <c r="BH533" s="107"/>
      <c r="BI533" s="107"/>
      <c r="BJ533" s="107"/>
      <c r="BK533" s="107"/>
      <c r="BL533" s="107"/>
      <c r="BM533" s="107"/>
      <c r="BN533" s="107"/>
      <c r="BO533" s="107"/>
      <c r="BP533" s="107"/>
      <c r="BQ533" s="109"/>
      <c r="BR533" s="109"/>
      <c r="BS533" s="109"/>
      <c r="BT533" s="109"/>
      <c r="BU533" s="138"/>
    </row>
    <row r="534" spans="1:73" ht="39" customHeight="1" outlineLevel="2">
      <c r="A534" s="24" t="s">
        <v>999</v>
      </c>
      <c r="B534" s="37" t="s">
        <v>203</v>
      </c>
      <c r="C534" s="20" t="s">
        <v>587</v>
      </c>
      <c r="D534" s="218" t="s">
        <v>1297</v>
      </c>
      <c r="E534" s="220" t="s">
        <v>2334</v>
      </c>
      <c r="F534" s="108">
        <f t="shared" si="86"/>
        <v>200.44207999999998</v>
      </c>
      <c r="G534" s="106">
        <f t="shared" si="93"/>
        <v>94.74807</v>
      </c>
      <c r="H534" s="106">
        <f t="shared" si="94"/>
        <v>105.69400999999999</v>
      </c>
      <c r="I534" s="107"/>
      <c r="J534" s="107"/>
      <c r="K534" s="107"/>
      <c r="L534" s="107"/>
      <c r="M534" s="107"/>
      <c r="N534" s="107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7">
        <v>10.64</v>
      </c>
      <c r="Z534" s="107">
        <v>27.951</v>
      </c>
      <c r="AA534" s="159">
        <v>38.89542</v>
      </c>
      <c r="AB534" s="106">
        <v>15.84585</v>
      </c>
      <c r="AC534" s="107"/>
      <c r="AD534" s="107"/>
      <c r="AE534" s="107"/>
      <c r="AF534" s="107"/>
      <c r="AG534" s="107"/>
      <c r="AH534" s="107"/>
      <c r="AI534" s="107"/>
      <c r="AJ534" s="108">
        <v>17.55808</v>
      </c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7"/>
      <c r="AV534" s="107"/>
      <c r="AW534" s="107"/>
      <c r="AX534" s="107"/>
      <c r="AY534" s="106"/>
      <c r="AZ534" s="107"/>
      <c r="BA534" s="107"/>
      <c r="BB534" s="107"/>
      <c r="BC534" s="107">
        <v>45.21265</v>
      </c>
      <c r="BD534" s="107">
        <v>44.33908</v>
      </c>
      <c r="BE534" s="107"/>
      <c r="BF534" s="107"/>
      <c r="BG534" s="107"/>
      <c r="BH534" s="107"/>
      <c r="BI534" s="107"/>
      <c r="BJ534" s="107"/>
      <c r="BK534" s="107"/>
      <c r="BL534" s="107"/>
      <c r="BM534" s="107"/>
      <c r="BN534" s="107"/>
      <c r="BO534" s="107"/>
      <c r="BP534" s="107"/>
      <c r="BQ534" s="109"/>
      <c r="BR534" s="109"/>
      <c r="BS534" s="109"/>
      <c r="BT534" s="109"/>
      <c r="BU534" s="138"/>
    </row>
    <row r="535" spans="1:73" ht="39" customHeight="1" outlineLevel="2">
      <c r="A535" s="24" t="s">
        <v>999</v>
      </c>
      <c r="B535" s="37" t="s">
        <v>204</v>
      </c>
      <c r="C535" s="20" t="s">
        <v>587</v>
      </c>
      <c r="D535" s="218" t="s">
        <v>1213</v>
      </c>
      <c r="E535" s="220" t="s">
        <v>2335</v>
      </c>
      <c r="F535" s="108">
        <f t="shared" si="86"/>
        <v>126.18867999999999</v>
      </c>
      <c r="G535" s="106">
        <f t="shared" si="93"/>
        <v>76.81625</v>
      </c>
      <c r="H535" s="106">
        <f t="shared" si="94"/>
        <v>49.372429999999994</v>
      </c>
      <c r="I535" s="107"/>
      <c r="J535" s="107"/>
      <c r="K535" s="107"/>
      <c r="L535" s="107"/>
      <c r="M535" s="107"/>
      <c r="N535" s="107"/>
      <c r="O535" s="106">
        <v>33.42892</v>
      </c>
      <c r="P535" s="106">
        <v>1.50901</v>
      </c>
      <c r="Q535" s="106"/>
      <c r="R535" s="106"/>
      <c r="S535" s="106"/>
      <c r="T535" s="106"/>
      <c r="U535" s="106"/>
      <c r="V535" s="106"/>
      <c r="W535" s="106"/>
      <c r="X535" s="106"/>
      <c r="Y535" s="107"/>
      <c r="Z535" s="107"/>
      <c r="AA535" s="159">
        <v>15.88163</v>
      </c>
      <c r="AB535" s="106">
        <v>10.49787</v>
      </c>
      <c r="AC535" s="107"/>
      <c r="AD535" s="107"/>
      <c r="AE535" s="107"/>
      <c r="AF535" s="107"/>
      <c r="AG535" s="107"/>
      <c r="AH535" s="107"/>
      <c r="AI535" s="107"/>
      <c r="AJ535" s="108">
        <v>10.392199999999999</v>
      </c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7"/>
      <c r="AV535" s="107"/>
      <c r="AW535" s="107"/>
      <c r="AX535" s="107"/>
      <c r="AY535" s="106"/>
      <c r="AZ535" s="107"/>
      <c r="BA535" s="107"/>
      <c r="BB535" s="107"/>
      <c r="BC535" s="107">
        <v>27.5057</v>
      </c>
      <c r="BD535" s="107">
        <v>26.97335</v>
      </c>
      <c r="BE535" s="107"/>
      <c r="BF535" s="107"/>
      <c r="BG535" s="107"/>
      <c r="BH535" s="107"/>
      <c r="BI535" s="107"/>
      <c r="BJ535" s="107"/>
      <c r="BK535" s="107"/>
      <c r="BL535" s="107"/>
      <c r="BM535" s="107"/>
      <c r="BN535" s="107"/>
      <c r="BO535" s="107"/>
      <c r="BP535" s="107"/>
      <c r="BQ535" s="109"/>
      <c r="BR535" s="109"/>
      <c r="BS535" s="109"/>
      <c r="BT535" s="109"/>
      <c r="BU535" s="138"/>
    </row>
    <row r="536" spans="1:73" ht="39" customHeight="1" outlineLevel="2">
      <c r="A536" s="24" t="s">
        <v>999</v>
      </c>
      <c r="B536" s="37" t="s">
        <v>205</v>
      </c>
      <c r="C536" s="20" t="s">
        <v>587</v>
      </c>
      <c r="D536" s="218" t="s">
        <v>478</v>
      </c>
      <c r="E536" s="220" t="s">
        <v>2336</v>
      </c>
      <c r="F536" s="108">
        <f t="shared" si="86"/>
        <v>262.19395000000003</v>
      </c>
      <c r="G536" s="106">
        <f t="shared" si="93"/>
        <v>109.28184</v>
      </c>
      <c r="H536" s="106">
        <f t="shared" si="94"/>
        <v>152.91211</v>
      </c>
      <c r="I536" s="107"/>
      <c r="J536" s="107"/>
      <c r="K536" s="107"/>
      <c r="L536" s="107"/>
      <c r="M536" s="107"/>
      <c r="N536" s="107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7"/>
      <c r="Z536" s="107"/>
      <c r="AA536" s="159">
        <v>37.62536</v>
      </c>
      <c r="AB536" s="106">
        <v>23.76877</v>
      </c>
      <c r="AC536" s="107"/>
      <c r="AD536" s="107"/>
      <c r="AE536" s="107"/>
      <c r="AF536" s="107"/>
      <c r="AG536" s="107"/>
      <c r="AH536" s="107"/>
      <c r="AI536" s="107"/>
      <c r="AJ536" s="108">
        <v>27.41256</v>
      </c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7"/>
      <c r="AV536" s="107"/>
      <c r="AW536" s="107"/>
      <c r="AX536" s="107"/>
      <c r="AY536" s="106"/>
      <c r="AZ536" s="107"/>
      <c r="BA536" s="107"/>
      <c r="BB536" s="107"/>
      <c r="BC536" s="107">
        <v>71.65648</v>
      </c>
      <c r="BD536" s="107">
        <v>70.2714</v>
      </c>
      <c r="BE536" s="107"/>
      <c r="BF536" s="107"/>
      <c r="BG536" s="107"/>
      <c r="BH536" s="107"/>
      <c r="BI536" s="107"/>
      <c r="BJ536" s="107">
        <v>31.45938</v>
      </c>
      <c r="BK536" s="107"/>
      <c r="BL536" s="107"/>
      <c r="BM536" s="107"/>
      <c r="BN536" s="107"/>
      <c r="BO536" s="107"/>
      <c r="BP536" s="107"/>
      <c r="BQ536" s="109"/>
      <c r="BR536" s="109"/>
      <c r="BS536" s="109"/>
      <c r="BT536" s="109"/>
      <c r="BU536" s="138"/>
    </row>
    <row r="537" spans="1:73" ht="39" customHeight="1" outlineLevel="2">
      <c r="A537" s="24" t="s">
        <v>999</v>
      </c>
      <c r="B537" s="37" t="s">
        <v>206</v>
      </c>
      <c r="C537" s="20" t="s">
        <v>587</v>
      </c>
      <c r="D537" s="218" t="s">
        <v>1214</v>
      </c>
      <c r="E537" s="220" t="s">
        <v>2337</v>
      </c>
      <c r="F537" s="108">
        <f t="shared" si="86"/>
        <v>214.50934999999998</v>
      </c>
      <c r="G537" s="106">
        <f t="shared" si="93"/>
        <v>101.78027</v>
      </c>
      <c r="H537" s="106">
        <f t="shared" si="94"/>
        <v>112.72908</v>
      </c>
      <c r="I537" s="107"/>
      <c r="J537" s="107"/>
      <c r="K537" s="107"/>
      <c r="L537" s="107"/>
      <c r="M537" s="107"/>
      <c r="N537" s="107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7"/>
      <c r="Z537" s="107"/>
      <c r="AA537" s="159">
        <v>42.50713</v>
      </c>
      <c r="AB537" s="106">
        <v>27.73023</v>
      </c>
      <c r="AC537" s="107"/>
      <c r="AD537" s="107"/>
      <c r="AE537" s="107"/>
      <c r="AF537" s="107"/>
      <c r="AG537" s="107"/>
      <c r="AH537" s="107"/>
      <c r="AI537" s="107"/>
      <c r="AJ537" s="108">
        <v>26.87484</v>
      </c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7"/>
      <c r="AV537" s="107"/>
      <c r="AW537" s="107"/>
      <c r="AX537" s="107"/>
      <c r="AY537" s="106"/>
      <c r="AZ537" s="107"/>
      <c r="BA537" s="107"/>
      <c r="BB537" s="107"/>
      <c r="BC537" s="107">
        <v>59.27314</v>
      </c>
      <c r="BD537" s="107">
        <v>58.12401</v>
      </c>
      <c r="BE537" s="107"/>
      <c r="BF537" s="107"/>
      <c r="BG537" s="107"/>
      <c r="BH537" s="107"/>
      <c r="BI537" s="107"/>
      <c r="BJ537" s="107"/>
      <c r="BK537" s="107"/>
      <c r="BL537" s="107"/>
      <c r="BM537" s="107"/>
      <c r="BN537" s="107"/>
      <c r="BO537" s="107"/>
      <c r="BP537" s="107"/>
      <c r="BQ537" s="109"/>
      <c r="BR537" s="109"/>
      <c r="BS537" s="109"/>
      <c r="BT537" s="109"/>
      <c r="BU537" s="138"/>
    </row>
    <row r="538" spans="1:73" ht="39" customHeight="1" outlineLevel="2">
      <c r="A538" s="24" t="s">
        <v>999</v>
      </c>
      <c r="B538" s="37" t="s">
        <v>1762</v>
      </c>
      <c r="C538" s="20" t="s">
        <v>587</v>
      </c>
      <c r="D538" s="218" t="s">
        <v>1804</v>
      </c>
      <c r="E538" s="220" t="s">
        <v>2338</v>
      </c>
      <c r="F538" s="108">
        <f t="shared" si="86"/>
        <v>1260</v>
      </c>
      <c r="G538" s="106">
        <f t="shared" si="93"/>
        <v>1260</v>
      </c>
      <c r="H538" s="106">
        <f t="shared" si="94"/>
        <v>0</v>
      </c>
      <c r="I538" s="107"/>
      <c r="J538" s="107"/>
      <c r="K538" s="107"/>
      <c r="L538" s="107"/>
      <c r="M538" s="107"/>
      <c r="N538" s="107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7"/>
      <c r="Z538" s="107"/>
      <c r="AA538" s="159"/>
      <c r="AB538" s="106"/>
      <c r="AC538" s="107"/>
      <c r="AD538" s="107"/>
      <c r="AE538" s="107"/>
      <c r="AF538" s="107"/>
      <c r="AG538" s="107"/>
      <c r="AH538" s="107"/>
      <c r="AI538" s="107"/>
      <c r="AJ538" s="108">
        <v>0</v>
      </c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7"/>
      <c r="AV538" s="107"/>
      <c r="AW538" s="107"/>
      <c r="AX538" s="107"/>
      <c r="AY538" s="106"/>
      <c r="AZ538" s="107"/>
      <c r="BA538" s="107"/>
      <c r="BB538" s="107"/>
      <c r="BC538" s="107"/>
      <c r="BD538" s="107"/>
      <c r="BE538" s="107"/>
      <c r="BF538" s="107"/>
      <c r="BG538" s="107"/>
      <c r="BH538" s="107"/>
      <c r="BI538" s="107"/>
      <c r="BJ538" s="107"/>
      <c r="BK538" s="107"/>
      <c r="BL538" s="107"/>
      <c r="BM538" s="107"/>
      <c r="BN538" s="107"/>
      <c r="BO538" s="107"/>
      <c r="BP538" s="107"/>
      <c r="BQ538" s="109"/>
      <c r="BR538" s="109">
        <v>1260</v>
      </c>
      <c r="BS538" s="109"/>
      <c r="BT538" s="109"/>
      <c r="BU538" s="138"/>
    </row>
    <row r="539" spans="1:73" ht="39" customHeight="1" outlineLevel="2">
      <c r="A539" s="24" t="s">
        <v>999</v>
      </c>
      <c r="B539" s="37" t="s">
        <v>198</v>
      </c>
      <c r="C539" s="20" t="s">
        <v>710</v>
      </c>
      <c r="D539" s="218" t="s">
        <v>78</v>
      </c>
      <c r="E539" s="220" t="s">
        <v>2339</v>
      </c>
      <c r="F539" s="108">
        <f t="shared" si="86"/>
        <v>71.23143</v>
      </c>
      <c r="G539" s="106">
        <f t="shared" si="93"/>
        <v>33.9684</v>
      </c>
      <c r="H539" s="106">
        <f t="shared" si="94"/>
        <v>37.26303</v>
      </c>
      <c r="I539" s="107"/>
      <c r="J539" s="107"/>
      <c r="K539" s="107"/>
      <c r="L539" s="107"/>
      <c r="M539" s="107"/>
      <c r="N539" s="107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7"/>
      <c r="Z539" s="107"/>
      <c r="AA539" s="159">
        <v>14.01128</v>
      </c>
      <c r="AB539" s="106">
        <v>8.91329</v>
      </c>
      <c r="AC539" s="107"/>
      <c r="AD539" s="107"/>
      <c r="AE539" s="107"/>
      <c r="AF539" s="107"/>
      <c r="AG539" s="107"/>
      <c r="AH539" s="107"/>
      <c r="AI539" s="107"/>
      <c r="AJ539" s="108">
        <v>8.77904</v>
      </c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7"/>
      <c r="AV539" s="107"/>
      <c r="AW539" s="107"/>
      <c r="AX539" s="107"/>
      <c r="AY539" s="106"/>
      <c r="AZ539" s="107"/>
      <c r="BA539" s="107"/>
      <c r="BB539" s="107"/>
      <c r="BC539" s="107">
        <v>19.95712</v>
      </c>
      <c r="BD539" s="107">
        <v>19.5707</v>
      </c>
      <c r="BE539" s="107"/>
      <c r="BF539" s="107"/>
      <c r="BG539" s="107"/>
      <c r="BH539" s="107"/>
      <c r="BI539" s="107"/>
      <c r="BJ539" s="107"/>
      <c r="BK539" s="107"/>
      <c r="BL539" s="107"/>
      <c r="BM539" s="107"/>
      <c r="BN539" s="107"/>
      <c r="BO539" s="107"/>
      <c r="BP539" s="107"/>
      <c r="BQ539" s="109"/>
      <c r="BR539" s="109"/>
      <c r="BS539" s="109"/>
      <c r="BT539" s="109"/>
      <c r="BU539" s="138"/>
    </row>
    <row r="540" spans="1:73" ht="24" customHeight="1" outlineLevel="2">
      <c r="A540" s="24" t="s">
        <v>999</v>
      </c>
      <c r="B540" s="37" t="s">
        <v>201</v>
      </c>
      <c r="C540" s="20" t="s">
        <v>710</v>
      </c>
      <c r="D540" s="218" t="s">
        <v>405</v>
      </c>
      <c r="E540" s="220" t="s">
        <v>2340</v>
      </c>
      <c r="F540" s="108">
        <f t="shared" si="86"/>
        <v>166.36200000000002</v>
      </c>
      <c r="G540" s="106">
        <f t="shared" si="93"/>
        <v>73.88839</v>
      </c>
      <c r="H540" s="106">
        <f t="shared" si="94"/>
        <v>92.47361000000001</v>
      </c>
      <c r="I540" s="107"/>
      <c r="J540" s="107"/>
      <c r="K540" s="107"/>
      <c r="L540" s="107"/>
      <c r="M540" s="107"/>
      <c r="N540" s="107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7"/>
      <c r="Z540" s="107"/>
      <c r="AA540" s="159">
        <v>20.12242</v>
      </c>
      <c r="AB540" s="106">
        <v>12.87475</v>
      </c>
      <c r="AC540" s="107"/>
      <c r="AD540" s="107"/>
      <c r="AE540" s="107"/>
      <c r="AF540" s="107"/>
      <c r="AG540" s="107"/>
      <c r="AH540" s="107"/>
      <c r="AI540" s="107"/>
      <c r="AJ540" s="108">
        <v>26.87484</v>
      </c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7"/>
      <c r="AV540" s="107"/>
      <c r="AW540" s="107"/>
      <c r="AX540" s="107"/>
      <c r="AY540" s="106"/>
      <c r="AZ540" s="107"/>
      <c r="BA540" s="107"/>
      <c r="BB540" s="107"/>
      <c r="BC540" s="107">
        <v>53.76597</v>
      </c>
      <c r="BD540" s="107">
        <v>52.72402</v>
      </c>
      <c r="BE540" s="107"/>
      <c r="BF540" s="107"/>
      <c r="BG540" s="107"/>
      <c r="BH540" s="107"/>
      <c r="BI540" s="107"/>
      <c r="BJ540" s="107"/>
      <c r="BK540" s="107"/>
      <c r="BL540" s="107"/>
      <c r="BM540" s="107"/>
      <c r="BN540" s="107"/>
      <c r="BO540" s="107"/>
      <c r="BP540" s="107"/>
      <c r="BQ540" s="109"/>
      <c r="BR540" s="109"/>
      <c r="BS540" s="109"/>
      <c r="BT540" s="109"/>
      <c r="BU540" s="138"/>
    </row>
    <row r="541" spans="1:73" ht="37.5" customHeight="1" outlineLevel="2">
      <c r="A541" s="24" t="s">
        <v>999</v>
      </c>
      <c r="B541" s="37" t="s">
        <v>193</v>
      </c>
      <c r="C541" s="20" t="s">
        <v>710</v>
      </c>
      <c r="D541" s="218" t="s">
        <v>810</v>
      </c>
      <c r="E541" s="220" t="s">
        <v>2341</v>
      </c>
      <c r="F541" s="108">
        <f t="shared" si="86"/>
        <v>40.803740000000005</v>
      </c>
      <c r="G541" s="106">
        <f t="shared" si="93"/>
        <v>20.50609</v>
      </c>
      <c r="H541" s="106">
        <f t="shared" si="94"/>
        <v>20.29765</v>
      </c>
      <c r="I541" s="107"/>
      <c r="J541" s="107"/>
      <c r="K541" s="107"/>
      <c r="L541" s="107"/>
      <c r="M541" s="107"/>
      <c r="N541" s="107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7"/>
      <c r="Z541" s="107"/>
      <c r="AA541" s="159">
        <v>8.06088</v>
      </c>
      <c r="AB541" s="106">
        <v>5.94219</v>
      </c>
      <c r="AC541" s="107"/>
      <c r="AD541" s="107"/>
      <c r="AE541" s="107"/>
      <c r="AF541" s="107"/>
      <c r="AG541" s="107"/>
      <c r="AH541" s="107"/>
      <c r="AI541" s="107"/>
      <c r="AJ541" s="108">
        <v>2.15088</v>
      </c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7"/>
      <c r="AV541" s="107"/>
      <c r="AW541" s="107"/>
      <c r="AX541" s="107"/>
      <c r="AY541" s="106"/>
      <c r="AZ541" s="107"/>
      <c r="BA541" s="107"/>
      <c r="BB541" s="107"/>
      <c r="BC541" s="107">
        <v>12.44521</v>
      </c>
      <c r="BD541" s="107">
        <v>12.20458</v>
      </c>
      <c r="BE541" s="107"/>
      <c r="BF541" s="107"/>
      <c r="BG541" s="107"/>
      <c r="BH541" s="107"/>
      <c r="BI541" s="107"/>
      <c r="BJ541" s="107"/>
      <c r="BK541" s="107"/>
      <c r="BL541" s="107"/>
      <c r="BM541" s="107"/>
      <c r="BN541" s="107"/>
      <c r="BO541" s="107"/>
      <c r="BP541" s="107"/>
      <c r="BQ541" s="109"/>
      <c r="BR541" s="109"/>
      <c r="BS541" s="109"/>
      <c r="BT541" s="109"/>
      <c r="BU541" s="138"/>
    </row>
    <row r="542" spans="1:73" ht="33" customHeight="1" outlineLevel="2">
      <c r="A542" s="35" t="s">
        <v>999</v>
      </c>
      <c r="B542" s="37" t="s">
        <v>1153</v>
      </c>
      <c r="C542" s="20" t="s">
        <v>934</v>
      </c>
      <c r="D542" s="218" t="s">
        <v>1590</v>
      </c>
      <c r="E542" s="203" t="s">
        <v>2342</v>
      </c>
      <c r="F542" s="108">
        <f t="shared" si="86"/>
        <v>545.18474</v>
      </c>
      <c r="G542" s="106">
        <f t="shared" si="93"/>
        <v>0</v>
      </c>
      <c r="H542" s="106">
        <f t="shared" si="94"/>
        <v>545.18474</v>
      </c>
      <c r="I542" s="107"/>
      <c r="J542" s="107"/>
      <c r="K542" s="107"/>
      <c r="L542" s="107"/>
      <c r="M542" s="107"/>
      <c r="N542" s="107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7"/>
      <c r="Z542" s="107"/>
      <c r="AA542" s="106"/>
      <c r="AB542" s="106"/>
      <c r="AC542" s="107"/>
      <c r="AD542" s="107"/>
      <c r="AE542" s="107"/>
      <c r="AF542" s="107"/>
      <c r="AG542" s="107"/>
      <c r="AH542" s="107"/>
      <c r="AI542" s="107"/>
      <c r="AJ542" s="108">
        <v>0</v>
      </c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7"/>
      <c r="AV542" s="107"/>
      <c r="AW542" s="107"/>
      <c r="AX542" s="107"/>
      <c r="AY542" s="106"/>
      <c r="AZ542" s="107"/>
      <c r="BA542" s="107"/>
      <c r="BB542" s="107"/>
      <c r="BC542" s="107"/>
      <c r="BD542" s="107"/>
      <c r="BE542" s="107"/>
      <c r="BF542" s="107"/>
      <c r="BG542" s="107"/>
      <c r="BH542" s="107"/>
      <c r="BI542" s="107"/>
      <c r="BJ542" s="107"/>
      <c r="BK542" s="107"/>
      <c r="BL542" s="107"/>
      <c r="BM542" s="107"/>
      <c r="BN542" s="107">
        <v>545.18474</v>
      </c>
      <c r="BO542" s="107"/>
      <c r="BP542" s="107"/>
      <c r="BQ542" s="109"/>
      <c r="BR542" s="109"/>
      <c r="BS542" s="109"/>
      <c r="BT542" s="109"/>
      <c r="BU542" s="138"/>
    </row>
    <row r="543" spans="1:73" ht="32.25" customHeight="1" outlineLevel="2">
      <c r="A543" s="24" t="s">
        <v>999</v>
      </c>
      <c r="B543" s="19" t="s">
        <v>1353</v>
      </c>
      <c r="C543" s="20" t="s">
        <v>934</v>
      </c>
      <c r="D543" s="218" t="s">
        <v>1354</v>
      </c>
      <c r="E543" s="203" t="s">
        <v>2343</v>
      </c>
      <c r="F543" s="108">
        <f t="shared" si="86"/>
        <v>1063.0798</v>
      </c>
      <c r="G543" s="106">
        <f t="shared" si="93"/>
        <v>10.9088</v>
      </c>
      <c r="H543" s="106">
        <f t="shared" si="94"/>
        <v>1052.171</v>
      </c>
      <c r="I543" s="107"/>
      <c r="J543" s="107"/>
      <c r="K543" s="107"/>
      <c r="L543" s="107"/>
      <c r="M543" s="107">
        <v>87.38421</v>
      </c>
      <c r="N543" s="107"/>
      <c r="O543" s="106">
        <v>10.9088</v>
      </c>
      <c r="P543" s="106">
        <v>0.52255</v>
      </c>
      <c r="Q543" s="106"/>
      <c r="R543" s="106"/>
      <c r="S543" s="106"/>
      <c r="T543" s="106"/>
      <c r="U543" s="106"/>
      <c r="V543" s="106"/>
      <c r="W543" s="106"/>
      <c r="X543" s="106"/>
      <c r="Y543" s="107"/>
      <c r="Z543" s="107"/>
      <c r="AA543" s="106"/>
      <c r="AB543" s="106"/>
      <c r="AC543" s="107"/>
      <c r="AD543" s="107"/>
      <c r="AE543" s="107"/>
      <c r="AF543" s="107"/>
      <c r="AG543" s="107"/>
      <c r="AH543" s="107"/>
      <c r="AI543" s="107"/>
      <c r="AJ543" s="108">
        <v>0</v>
      </c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6"/>
      <c r="AZ543" s="107"/>
      <c r="BA543" s="107"/>
      <c r="BB543" s="107"/>
      <c r="BC543" s="107"/>
      <c r="BD543" s="107"/>
      <c r="BE543" s="107"/>
      <c r="BF543" s="107"/>
      <c r="BG543" s="107"/>
      <c r="BH543" s="107"/>
      <c r="BI543" s="107"/>
      <c r="BJ543" s="107">
        <v>94.37813</v>
      </c>
      <c r="BK543" s="107"/>
      <c r="BL543" s="107"/>
      <c r="BM543" s="107">
        <v>223.11072</v>
      </c>
      <c r="BN543" s="107">
        <v>646.77539</v>
      </c>
      <c r="BO543" s="107"/>
      <c r="BP543" s="107"/>
      <c r="BQ543" s="109"/>
      <c r="BR543" s="109"/>
      <c r="BS543" s="109"/>
      <c r="BT543" s="109"/>
      <c r="BU543" s="138"/>
    </row>
    <row r="544" spans="1:73" ht="40.5" customHeight="1" outlineLevel="2">
      <c r="A544" s="35" t="s">
        <v>999</v>
      </c>
      <c r="B544" s="37" t="s">
        <v>1293</v>
      </c>
      <c r="C544" s="20" t="s">
        <v>934</v>
      </c>
      <c r="D544" s="218" t="s">
        <v>833</v>
      </c>
      <c r="E544" s="203" t="s">
        <v>2344</v>
      </c>
      <c r="F544" s="108">
        <f t="shared" si="86"/>
        <v>1032.4188900000001</v>
      </c>
      <c r="G544" s="106">
        <f t="shared" si="93"/>
        <v>16.62254</v>
      </c>
      <c r="H544" s="106">
        <f t="shared" si="94"/>
        <v>1015.7963500000001</v>
      </c>
      <c r="I544" s="107"/>
      <c r="J544" s="107"/>
      <c r="K544" s="107"/>
      <c r="L544" s="107"/>
      <c r="M544" s="107"/>
      <c r="N544" s="107"/>
      <c r="O544" s="106">
        <v>16.62254</v>
      </c>
      <c r="P544" s="106">
        <v>0.75508</v>
      </c>
      <c r="Q544" s="106"/>
      <c r="R544" s="106"/>
      <c r="S544" s="106"/>
      <c r="T544" s="106"/>
      <c r="U544" s="106"/>
      <c r="V544" s="106"/>
      <c r="W544" s="106"/>
      <c r="X544" s="106"/>
      <c r="Y544" s="107"/>
      <c r="Z544" s="107"/>
      <c r="AA544" s="106"/>
      <c r="AB544" s="106"/>
      <c r="AC544" s="107"/>
      <c r="AD544" s="107"/>
      <c r="AE544" s="107"/>
      <c r="AF544" s="107"/>
      <c r="AG544" s="107"/>
      <c r="AH544" s="107"/>
      <c r="AI544" s="107"/>
      <c r="AJ544" s="108">
        <v>0</v>
      </c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7"/>
      <c r="AV544" s="107"/>
      <c r="AW544" s="107"/>
      <c r="AX544" s="107"/>
      <c r="AY544" s="106"/>
      <c r="AZ544" s="107"/>
      <c r="BA544" s="107"/>
      <c r="BB544" s="107"/>
      <c r="BC544" s="107"/>
      <c r="BD544" s="107"/>
      <c r="BE544" s="107"/>
      <c r="BF544" s="107"/>
      <c r="BG544" s="107"/>
      <c r="BH544" s="107"/>
      <c r="BI544" s="107"/>
      <c r="BJ544" s="107"/>
      <c r="BK544" s="107"/>
      <c r="BL544" s="107"/>
      <c r="BM544" s="107"/>
      <c r="BN544" s="107">
        <v>1015.04127</v>
      </c>
      <c r="BO544" s="107"/>
      <c r="BP544" s="107"/>
      <c r="BQ544" s="109"/>
      <c r="BR544" s="109"/>
      <c r="BS544" s="109"/>
      <c r="BT544" s="109"/>
      <c r="BU544" s="138"/>
    </row>
    <row r="545" spans="1:73" ht="35.25" customHeight="1" outlineLevel="2">
      <c r="A545" s="38" t="s">
        <v>999</v>
      </c>
      <c r="B545" s="39" t="s">
        <v>318</v>
      </c>
      <c r="C545" s="27" t="s">
        <v>934</v>
      </c>
      <c r="D545" s="219" t="s">
        <v>894</v>
      </c>
      <c r="E545" s="203" t="s">
        <v>2345</v>
      </c>
      <c r="F545" s="108">
        <f t="shared" si="86"/>
        <v>2717.11969</v>
      </c>
      <c r="G545" s="106">
        <f t="shared" si="93"/>
        <v>11.0183</v>
      </c>
      <c r="H545" s="106">
        <f t="shared" si="94"/>
        <v>2706.10139</v>
      </c>
      <c r="I545" s="113"/>
      <c r="J545" s="113"/>
      <c r="K545" s="113"/>
      <c r="L545" s="113"/>
      <c r="M545" s="113">
        <v>125.86971</v>
      </c>
      <c r="N545" s="113"/>
      <c r="O545" s="114">
        <v>11.0183</v>
      </c>
      <c r="P545" s="114">
        <v>0.57991</v>
      </c>
      <c r="Q545" s="114"/>
      <c r="R545" s="114"/>
      <c r="S545" s="114"/>
      <c r="T545" s="114"/>
      <c r="U545" s="114"/>
      <c r="V545" s="114"/>
      <c r="W545" s="114"/>
      <c r="X545" s="114"/>
      <c r="Y545" s="113"/>
      <c r="Z545" s="113"/>
      <c r="AA545" s="114"/>
      <c r="AB545" s="114"/>
      <c r="AC545" s="113"/>
      <c r="AD545" s="113"/>
      <c r="AE545" s="113"/>
      <c r="AF545" s="113"/>
      <c r="AG545" s="113"/>
      <c r="AH545" s="113"/>
      <c r="AI545" s="113"/>
      <c r="AJ545" s="108">
        <v>0</v>
      </c>
      <c r="AK545" s="113"/>
      <c r="AL545" s="113"/>
      <c r="AM545" s="113"/>
      <c r="AN545" s="113"/>
      <c r="AO545" s="113"/>
      <c r="AP545" s="113"/>
      <c r="AQ545" s="113"/>
      <c r="AR545" s="113"/>
      <c r="AS545" s="113"/>
      <c r="AT545" s="113"/>
      <c r="AU545" s="113"/>
      <c r="AV545" s="113"/>
      <c r="AW545" s="113"/>
      <c r="AX545" s="113"/>
      <c r="AY545" s="114"/>
      <c r="AZ545" s="113"/>
      <c r="BA545" s="113"/>
      <c r="BB545" s="113"/>
      <c r="BC545" s="113"/>
      <c r="BD545" s="113"/>
      <c r="BE545" s="113"/>
      <c r="BF545" s="113"/>
      <c r="BG545" s="113"/>
      <c r="BH545" s="113"/>
      <c r="BI545" s="113"/>
      <c r="BJ545" s="113">
        <v>747.18066</v>
      </c>
      <c r="BK545" s="113"/>
      <c r="BL545" s="113"/>
      <c r="BM545" s="113"/>
      <c r="BN545" s="113">
        <v>1832.47111</v>
      </c>
      <c r="BO545" s="113"/>
      <c r="BP545" s="113"/>
      <c r="BQ545" s="115"/>
      <c r="BR545" s="115"/>
      <c r="BS545" s="115"/>
      <c r="BT545" s="115"/>
      <c r="BU545" s="139"/>
    </row>
    <row r="546" spans="1:73" ht="39" customHeight="1" outlineLevel="2">
      <c r="A546" s="35" t="s">
        <v>999</v>
      </c>
      <c r="B546" s="37" t="s">
        <v>1116</v>
      </c>
      <c r="C546" s="20" t="s">
        <v>934</v>
      </c>
      <c r="D546" s="218" t="s">
        <v>1117</v>
      </c>
      <c r="E546" s="203" t="s">
        <v>2346</v>
      </c>
      <c r="F546" s="108">
        <f t="shared" si="86"/>
        <v>1396.5020200000001</v>
      </c>
      <c r="G546" s="106">
        <f t="shared" si="93"/>
        <v>656.57554</v>
      </c>
      <c r="H546" s="106">
        <f t="shared" si="94"/>
        <v>739.9264800000001</v>
      </c>
      <c r="I546" s="107"/>
      <c r="J546" s="107"/>
      <c r="K546" s="107"/>
      <c r="L546" s="107"/>
      <c r="M546" s="107"/>
      <c r="N546" s="107"/>
      <c r="O546" s="106">
        <v>656.57554</v>
      </c>
      <c r="P546" s="106">
        <v>320.00445</v>
      </c>
      <c r="Q546" s="106"/>
      <c r="R546" s="106"/>
      <c r="S546" s="106"/>
      <c r="T546" s="106"/>
      <c r="U546" s="106"/>
      <c r="V546" s="106"/>
      <c r="W546" s="106"/>
      <c r="X546" s="106"/>
      <c r="Y546" s="107"/>
      <c r="Z546" s="107"/>
      <c r="AA546" s="106"/>
      <c r="AB546" s="106"/>
      <c r="AC546" s="107"/>
      <c r="AD546" s="107"/>
      <c r="AE546" s="107"/>
      <c r="AF546" s="107"/>
      <c r="AG546" s="107"/>
      <c r="AH546" s="107"/>
      <c r="AI546" s="107"/>
      <c r="AJ546" s="108">
        <v>0</v>
      </c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7"/>
      <c r="AV546" s="107"/>
      <c r="AW546" s="107"/>
      <c r="AX546" s="107"/>
      <c r="AY546" s="106"/>
      <c r="AZ546" s="107"/>
      <c r="BA546" s="107"/>
      <c r="BB546" s="107"/>
      <c r="BC546" s="107"/>
      <c r="BD546" s="107"/>
      <c r="BE546" s="107"/>
      <c r="BF546" s="107"/>
      <c r="BG546" s="107"/>
      <c r="BH546" s="107"/>
      <c r="BI546" s="107"/>
      <c r="BJ546" s="107">
        <v>288.38689</v>
      </c>
      <c r="BK546" s="107"/>
      <c r="BL546" s="107"/>
      <c r="BM546" s="107"/>
      <c r="BN546" s="107">
        <v>131.53514</v>
      </c>
      <c r="BO546" s="107"/>
      <c r="BP546" s="107"/>
      <c r="BQ546" s="109"/>
      <c r="BR546" s="109"/>
      <c r="BS546" s="109"/>
      <c r="BT546" s="109"/>
      <c r="BU546" s="138"/>
    </row>
    <row r="547" spans="1:73" ht="33" customHeight="1" outlineLevel="2">
      <c r="A547" s="35" t="s">
        <v>999</v>
      </c>
      <c r="B547" s="37" t="s">
        <v>256</v>
      </c>
      <c r="C547" s="20" t="s">
        <v>934</v>
      </c>
      <c r="D547" s="218" t="s">
        <v>1352</v>
      </c>
      <c r="E547" s="203" t="s">
        <v>2347</v>
      </c>
      <c r="F547" s="108">
        <f t="shared" si="86"/>
        <v>3723.09753</v>
      </c>
      <c r="G547" s="106">
        <f t="shared" si="93"/>
        <v>2364.97308</v>
      </c>
      <c r="H547" s="106">
        <f t="shared" si="94"/>
        <v>1358.12445</v>
      </c>
      <c r="I547" s="107"/>
      <c r="J547" s="107"/>
      <c r="K547" s="107"/>
      <c r="L547" s="107"/>
      <c r="M547" s="107">
        <v>669.54719</v>
      </c>
      <c r="N547" s="107"/>
      <c r="O547" s="106">
        <v>2364.97308</v>
      </c>
      <c r="P547" s="106">
        <v>124.47226</v>
      </c>
      <c r="Q547" s="106"/>
      <c r="R547" s="106"/>
      <c r="S547" s="106"/>
      <c r="T547" s="106"/>
      <c r="U547" s="106"/>
      <c r="V547" s="106"/>
      <c r="W547" s="106"/>
      <c r="X547" s="106"/>
      <c r="Y547" s="107"/>
      <c r="Z547" s="107"/>
      <c r="AA547" s="106"/>
      <c r="AB547" s="106"/>
      <c r="AC547" s="107"/>
      <c r="AD547" s="107"/>
      <c r="AE547" s="107"/>
      <c r="AF547" s="107"/>
      <c r="AG547" s="107"/>
      <c r="AH547" s="107"/>
      <c r="AI547" s="107"/>
      <c r="AJ547" s="108">
        <v>0</v>
      </c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7"/>
      <c r="AV547" s="107"/>
      <c r="AW547" s="107"/>
      <c r="AX547" s="107"/>
      <c r="AY547" s="106"/>
      <c r="AZ547" s="107"/>
      <c r="BA547" s="107"/>
      <c r="BB547" s="107"/>
      <c r="BC547" s="107"/>
      <c r="BD547" s="107"/>
      <c r="BE547" s="107">
        <v>564.105</v>
      </c>
      <c r="BF547" s="107"/>
      <c r="BG547" s="107"/>
      <c r="BH547" s="107"/>
      <c r="BI547" s="107"/>
      <c r="BJ547" s="107"/>
      <c r="BK547" s="107"/>
      <c r="BL547" s="107"/>
      <c r="BM547" s="107"/>
      <c r="BN547" s="107"/>
      <c r="BO547" s="107"/>
      <c r="BP547" s="107"/>
      <c r="BQ547" s="109"/>
      <c r="BR547" s="109"/>
      <c r="BS547" s="109"/>
      <c r="BT547" s="109"/>
      <c r="BU547" s="138"/>
    </row>
    <row r="548" spans="1:73" ht="33" customHeight="1" outlineLevel="2" thickBot="1">
      <c r="A548" s="35" t="s">
        <v>999</v>
      </c>
      <c r="B548" s="37" t="s">
        <v>1118</v>
      </c>
      <c r="C548" s="20" t="s">
        <v>934</v>
      </c>
      <c r="D548" s="218" t="s">
        <v>1119</v>
      </c>
      <c r="E548" s="203" t="s">
        <v>2348</v>
      </c>
      <c r="F548" s="108">
        <f t="shared" si="86"/>
        <v>5067.41163</v>
      </c>
      <c r="G548" s="106">
        <f t="shared" si="93"/>
        <v>0</v>
      </c>
      <c r="H548" s="106">
        <f t="shared" si="94"/>
        <v>5067.41163</v>
      </c>
      <c r="I548" s="107"/>
      <c r="J548" s="107"/>
      <c r="K548" s="107"/>
      <c r="L548" s="107"/>
      <c r="M548" s="107"/>
      <c r="N548" s="107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7"/>
      <c r="Z548" s="107"/>
      <c r="AA548" s="106"/>
      <c r="AB548" s="106"/>
      <c r="AC548" s="107"/>
      <c r="AD548" s="107"/>
      <c r="AE548" s="107"/>
      <c r="AF548" s="107"/>
      <c r="AG548" s="107"/>
      <c r="AH548" s="107"/>
      <c r="AI548" s="107"/>
      <c r="AJ548" s="108">
        <v>0</v>
      </c>
      <c r="AK548" s="107"/>
      <c r="AL548" s="107"/>
      <c r="AM548" s="107"/>
      <c r="AN548" s="107"/>
      <c r="AO548" s="107"/>
      <c r="AP548" s="107"/>
      <c r="AQ548" s="107"/>
      <c r="AR548" s="107"/>
      <c r="AS548" s="107"/>
      <c r="AT548" s="107"/>
      <c r="AU548" s="107"/>
      <c r="AV548" s="107"/>
      <c r="AW548" s="107"/>
      <c r="AX548" s="107"/>
      <c r="AY548" s="106"/>
      <c r="AZ548" s="107"/>
      <c r="BA548" s="107"/>
      <c r="BB548" s="107"/>
      <c r="BC548" s="107"/>
      <c r="BD548" s="107"/>
      <c r="BE548" s="107"/>
      <c r="BF548" s="107"/>
      <c r="BG548" s="107"/>
      <c r="BH548" s="107"/>
      <c r="BI548" s="107"/>
      <c r="BJ548" s="107"/>
      <c r="BK548" s="107"/>
      <c r="BL548" s="107"/>
      <c r="BM548" s="107"/>
      <c r="BN548" s="107">
        <v>5067.41163</v>
      </c>
      <c r="BO548" s="107"/>
      <c r="BP548" s="107"/>
      <c r="BQ548" s="109"/>
      <c r="BR548" s="109"/>
      <c r="BS548" s="109"/>
      <c r="BT548" s="109"/>
      <c r="BU548" s="138"/>
    </row>
    <row r="549" spans="1:73" s="32" customFormat="1" ht="21" outlineLevel="1" thickBot="1">
      <c r="A549" s="40" t="s">
        <v>1355</v>
      </c>
      <c r="B549" s="41"/>
      <c r="C549" s="30" t="s">
        <v>1572</v>
      </c>
      <c r="D549" s="222"/>
      <c r="E549" s="223"/>
      <c r="F549" s="116">
        <f aca="true" t="shared" si="95" ref="F549:AV549">SUBTOTAL(9,F505:F548)</f>
        <v>196691.03271</v>
      </c>
      <c r="G549" s="116">
        <f t="shared" si="95"/>
        <v>53730.574580000015</v>
      </c>
      <c r="H549" s="116">
        <f t="shared" si="95"/>
        <v>142960.45813</v>
      </c>
      <c r="I549" s="116">
        <f t="shared" si="95"/>
        <v>6094.14074</v>
      </c>
      <c r="J549" s="116">
        <f t="shared" si="95"/>
        <v>1258.42713</v>
      </c>
      <c r="K549" s="116">
        <f t="shared" si="95"/>
        <v>6815.071470000001</v>
      </c>
      <c r="L549" s="116">
        <f t="shared" si="95"/>
        <v>1338.0708300000001</v>
      </c>
      <c r="M549" s="116">
        <f t="shared" si="95"/>
        <v>5337.015540000001</v>
      </c>
      <c r="N549" s="116">
        <f t="shared" si="95"/>
        <v>11823.8581</v>
      </c>
      <c r="O549" s="116">
        <f t="shared" si="95"/>
        <v>3180.8905000000004</v>
      </c>
      <c r="P549" s="116">
        <f t="shared" si="95"/>
        <v>455.88869</v>
      </c>
      <c r="Q549" s="116">
        <f t="shared" si="95"/>
        <v>0</v>
      </c>
      <c r="R549" s="116">
        <f t="shared" si="95"/>
        <v>0</v>
      </c>
      <c r="S549" s="116">
        <f t="shared" si="95"/>
        <v>2390.75826</v>
      </c>
      <c r="T549" s="116">
        <f t="shared" si="95"/>
        <v>848.50485</v>
      </c>
      <c r="U549" s="116">
        <f t="shared" si="95"/>
        <v>1571.79452</v>
      </c>
      <c r="V549" s="116">
        <f t="shared" si="95"/>
        <v>333.41092</v>
      </c>
      <c r="W549" s="116">
        <f t="shared" si="95"/>
        <v>5861.89156</v>
      </c>
      <c r="X549" s="116">
        <f t="shared" si="95"/>
        <v>3060.3178099999996</v>
      </c>
      <c r="Y549" s="116">
        <f t="shared" si="95"/>
        <v>661.2820099999998</v>
      </c>
      <c r="Z549" s="116">
        <f t="shared" si="95"/>
        <v>2005.2786000000003</v>
      </c>
      <c r="AA549" s="116">
        <f t="shared" si="95"/>
        <v>8828.203590000005</v>
      </c>
      <c r="AB549" s="116">
        <f t="shared" si="95"/>
        <v>4101.380640000001</v>
      </c>
      <c r="AC549" s="116">
        <f t="shared" si="95"/>
        <v>0</v>
      </c>
      <c r="AD549" s="116">
        <f t="shared" si="95"/>
        <v>0</v>
      </c>
      <c r="AE549" s="116">
        <f t="shared" si="95"/>
        <v>0</v>
      </c>
      <c r="AF549" s="116">
        <f t="shared" si="95"/>
        <v>0</v>
      </c>
      <c r="AG549" s="116">
        <f t="shared" si="95"/>
        <v>1360.1273999999999</v>
      </c>
      <c r="AH549" s="116">
        <f t="shared" si="95"/>
        <v>0</v>
      </c>
      <c r="AI549" s="116">
        <f t="shared" si="95"/>
        <v>0</v>
      </c>
      <c r="AJ549" s="116">
        <f>SUBTOTAL(9,AJ505:AJ548)</f>
        <v>10433.398290000001</v>
      </c>
      <c r="AK549" s="116"/>
      <c r="AL549" s="116">
        <f t="shared" si="95"/>
        <v>0</v>
      </c>
      <c r="AM549" s="116">
        <f t="shared" si="95"/>
        <v>0</v>
      </c>
      <c r="AN549" s="116">
        <f t="shared" si="95"/>
        <v>0</v>
      </c>
      <c r="AO549" s="116">
        <f t="shared" si="95"/>
        <v>0</v>
      </c>
      <c r="AP549" s="116">
        <f t="shared" si="95"/>
        <v>0</v>
      </c>
      <c r="AQ549" s="116">
        <f t="shared" si="95"/>
        <v>1224.375</v>
      </c>
      <c r="AR549" s="116">
        <f t="shared" si="95"/>
        <v>0</v>
      </c>
      <c r="AS549" s="116">
        <f t="shared" si="95"/>
        <v>0</v>
      </c>
      <c r="AT549" s="116">
        <f t="shared" si="95"/>
        <v>0</v>
      </c>
      <c r="AU549" s="116">
        <f t="shared" si="95"/>
        <v>0</v>
      </c>
      <c r="AV549" s="116">
        <f t="shared" si="95"/>
        <v>0</v>
      </c>
      <c r="AW549" s="116">
        <f aca="true" t="shared" si="96" ref="AW549:BU549">SUBTOTAL(9,AW505:AW548)</f>
        <v>208.52</v>
      </c>
      <c r="AX549" s="116">
        <f t="shared" si="96"/>
        <v>106.5766</v>
      </c>
      <c r="AY549" s="116">
        <f t="shared" si="96"/>
        <v>6463.82909</v>
      </c>
      <c r="AZ549" s="116">
        <f t="shared" si="96"/>
        <v>26.901</v>
      </c>
      <c r="BA549" s="116">
        <f t="shared" si="96"/>
        <v>47078.2574</v>
      </c>
      <c r="BB549" s="116">
        <f t="shared" si="96"/>
        <v>0</v>
      </c>
      <c r="BC549" s="116">
        <f t="shared" si="96"/>
        <v>16959.965330000003</v>
      </c>
      <c r="BD549" s="116">
        <f t="shared" si="96"/>
        <v>16632.080530000007</v>
      </c>
      <c r="BE549" s="116">
        <f t="shared" si="96"/>
        <v>1587.3908900000001</v>
      </c>
      <c r="BF549" s="116">
        <f t="shared" si="96"/>
        <v>0</v>
      </c>
      <c r="BG549" s="116">
        <f t="shared" si="96"/>
        <v>0</v>
      </c>
      <c r="BH549" s="116">
        <f t="shared" si="96"/>
        <v>0</v>
      </c>
      <c r="BI549" s="116">
        <f t="shared" si="96"/>
        <v>0</v>
      </c>
      <c r="BJ549" s="116">
        <f t="shared" si="96"/>
        <v>14902.4825</v>
      </c>
      <c r="BK549" s="116"/>
      <c r="BL549" s="116">
        <f t="shared" si="96"/>
        <v>0</v>
      </c>
      <c r="BM549" s="116">
        <f t="shared" si="96"/>
        <v>2794.4818299999997</v>
      </c>
      <c r="BN549" s="116">
        <f t="shared" si="96"/>
        <v>9238.41928</v>
      </c>
      <c r="BO549" s="116">
        <f t="shared" si="96"/>
        <v>0</v>
      </c>
      <c r="BP549" s="116">
        <f t="shared" si="96"/>
        <v>0</v>
      </c>
      <c r="BQ549" s="116">
        <f t="shared" si="96"/>
        <v>0</v>
      </c>
      <c r="BR549" s="116">
        <f t="shared" si="96"/>
        <v>1260</v>
      </c>
      <c r="BS549" s="116">
        <f t="shared" si="96"/>
        <v>0</v>
      </c>
      <c r="BT549" s="116">
        <f t="shared" si="96"/>
        <v>0</v>
      </c>
      <c r="BU549" s="116">
        <f t="shared" si="96"/>
        <v>0</v>
      </c>
    </row>
    <row r="550" spans="1:73" ht="41.25" customHeight="1" outlineLevel="2">
      <c r="A550" s="2" t="s">
        <v>1356</v>
      </c>
      <c r="B550" s="3" t="s">
        <v>1357</v>
      </c>
      <c r="C550" s="4" t="s">
        <v>1496</v>
      </c>
      <c r="D550" s="230" t="s">
        <v>298</v>
      </c>
      <c r="E550" s="203" t="s">
        <v>2353</v>
      </c>
      <c r="F550" s="108">
        <f t="shared" si="86"/>
        <v>19925.18151</v>
      </c>
      <c r="G550" s="106">
        <f>I550+K550+O550+S550+U550+W550+Y550+AA550+AC550+AE550+AR550+AX550+BC550+BG550+BP550+BR550+BT550+AO550</f>
        <v>7210.47787</v>
      </c>
      <c r="H550" s="106">
        <f>J550+L550+M550+N550+P550+Q550+R550+T550+V550+X550+Z550+AB550+AD550+AF550+AG550+AJ550+AL550+AS550+AT550+AU550+AV550+AW550+AY550+AZ550+BA550+BB550+BD550+BE550+BF550+BH550+BI550+BJ550+BL550+BM550+BN550+BO550+BQ550+BS550+BU550+AH550+AI550+AK550+AM550+AN550+AP550+AQ550+BK550</f>
        <v>12714.70364</v>
      </c>
      <c r="I550" s="119"/>
      <c r="J550" s="119"/>
      <c r="K550" s="138">
        <v>2167.23526</v>
      </c>
      <c r="L550" s="119">
        <v>247.63833</v>
      </c>
      <c r="M550" s="119">
        <v>43.64604</v>
      </c>
      <c r="N550" s="119"/>
      <c r="O550" s="120"/>
      <c r="P550" s="120"/>
      <c r="Q550" s="120"/>
      <c r="R550" s="120"/>
      <c r="S550" s="120">
        <v>82.99726</v>
      </c>
      <c r="T550" s="120">
        <v>20.74932</v>
      </c>
      <c r="U550" s="120">
        <v>701.21482</v>
      </c>
      <c r="V550" s="120"/>
      <c r="W550" s="126">
        <v>1362.46112</v>
      </c>
      <c r="X550" s="126">
        <v>711.3001</v>
      </c>
      <c r="Y550" s="119">
        <v>246.14683</v>
      </c>
      <c r="Z550" s="119">
        <v>572.97</v>
      </c>
      <c r="AA550" s="163">
        <v>169.23475</v>
      </c>
      <c r="AB550" s="120">
        <v>81.20997</v>
      </c>
      <c r="AC550" s="119"/>
      <c r="AD550" s="119"/>
      <c r="AE550" s="119"/>
      <c r="AF550" s="119"/>
      <c r="AG550" s="119">
        <v>125.9421</v>
      </c>
      <c r="AH550" s="119"/>
      <c r="AI550" s="119"/>
      <c r="AJ550" s="108">
        <v>1284.62752</v>
      </c>
      <c r="AK550" s="119">
        <f>68.8992+51.881</f>
        <v>120.7802</v>
      </c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20">
        <v>1786.71129</v>
      </c>
      <c r="AZ550" s="119"/>
      <c r="BA550" s="119">
        <v>4614.07078</v>
      </c>
      <c r="BB550" s="119"/>
      <c r="BC550" s="119">
        <v>2481.18783</v>
      </c>
      <c r="BD550" s="119">
        <v>2433.21366</v>
      </c>
      <c r="BE550" s="119"/>
      <c r="BF550" s="119"/>
      <c r="BG550" s="119"/>
      <c r="BH550" s="119"/>
      <c r="BI550" s="119"/>
      <c r="BJ550" s="119">
        <v>671.84433</v>
      </c>
      <c r="BK550" s="119"/>
      <c r="BL550" s="119"/>
      <c r="BM550" s="119"/>
      <c r="BN550" s="119"/>
      <c r="BO550" s="119"/>
      <c r="BP550" s="119"/>
      <c r="BQ550" s="121"/>
      <c r="BR550" s="121"/>
      <c r="BS550" s="121"/>
      <c r="BT550" s="121"/>
      <c r="BU550" s="140"/>
    </row>
    <row r="551" spans="1:73" ht="44.25" customHeight="1" outlineLevel="2">
      <c r="A551" s="35" t="s">
        <v>1356</v>
      </c>
      <c r="B551" s="19" t="s">
        <v>531</v>
      </c>
      <c r="C551" s="20" t="s">
        <v>1496</v>
      </c>
      <c r="D551" s="218" t="s">
        <v>466</v>
      </c>
      <c r="E551" s="203" t="s">
        <v>2352</v>
      </c>
      <c r="F551" s="108">
        <f t="shared" si="86"/>
        <v>36468.65836</v>
      </c>
      <c r="G551" s="106">
        <f aca="true" t="shared" si="97" ref="G551:G568">I551+K551+O551+S551+U551+W551+Y551+AA551+AC551+AE551+AR551+AX551+BC551+BG551+BP551+BR551+BT551+AO551</f>
        <v>12039.58432</v>
      </c>
      <c r="H551" s="106">
        <f aca="true" t="shared" si="98" ref="H551:H568">J551+L551+M551+N551+P551+Q551+R551+T551+V551+X551+Z551+AB551+AD551+AF551+AG551+AJ551+AL551+AS551+AT551+AU551+AV551+AW551+AY551+AZ551+BA551+BB551+BD551+BE551+BF551+BH551+BI551+BJ551+BL551+BM551+BN551+BO551+BQ551+BS551+BU551+AH551+AI551+AK551+AM551+AN551+AP551+AQ551+BK551</f>
        <v>24429.07404</v>
      </c>
      <c r="I551" s="107">
        <v>8.21777</v>
      </c>
      <c r="J551" s="107"/>
      <c r="K551" s="138">
        <v>2903.16746</v>
      </c>
      <c r="L551" s="107">
        <v>365.55231</v>
      </c>
      <c r="M551" s="107">
        <v>3007.08209</v>
      </c>
      <c r="N551" s="107"/>
      <c r="O551" s="106"/>
      <c r="P551" s="106"/>
      <c r="Q551" s="106"/>
      <c r="R551" s="106"/>
      <c r="S551" s="106"/>
      <c r="T551" s="106"/>
      <c r="U551" s="106">
        <v>543.27176</v>
      </c>
      <c r="V551" s="106">
        <v>135.81794</v>
      </c>
      <c r="W551" s="106">
        <v>1148.96179</v>
      </c>
      <c r="X551" s="106">
        <v>599.83849</v>
      </c>
      <c r="Y551" s="107">
        <v>105.4</v>
      </c>
      <c r="Z551" s="107">
        <v>337.023</v>
      </c>
      <c r="AA551" s="159">
        <v>458.78414</v>
      </c>
      <c r="AB551" s="106">
        <v>295.1289</v>
      </c>
      <c r="AC551" s="107"/>
      <c r="AD551" s="107"/>
      <c r="AE551" s="107"/>
      <c r="AF551" s="107"/>
      <c r="AG551" s="107">
        <v>209.5686</v>
      </c>
      <c r="AH551" s="107"/>
      <c r="AI551" s="107"/>
      <c r="AJ551" s="108">
        <v>1206.30872</v>
      </c>
      <c r="AK551" s="107">
        <f>75.9793+51.881</f>
        <v>127.8603</v>
      </c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7"/>
      <c r="AV551" s="107"/>
      <c r="AW551" s="107"/>
      <c r="AX551" s="107">
        <v>4732.31688</v>
      </c>
      <c r="AY551" s="106">
        <v>2068.93372</v>
      </c>
      <c r="AZ551" s="107"/>
      <c r="BA551" s="107">
        <f>1024.40238+7760.91862</f>
        <v>8785.321</v>
      </c>
      <c r="BB551" s="107"/>
      <c r="BC551" s="107">
        <v>2139.46452</v>
      </c>
      <c r="BD551" s="107">
        <v>2098.1</v>
      </c>
      <c r="BE551" s="107">
        <v>247.4478</v>
      </c>
      <c r="BF551" s="107"/>
      <c r="BG551" s="107"/>
      <c r="BH551" s="107"/>
      <c r="BI551" s="107"/>
      <c r="BJ551" s="107">
        <v>4464.17837</v>
      </c>
      <c r="BK551" s="107"/>
      <c r="BL551" s="107"/>
      <c r="BM551" s="107">
        <v>480.9128</v>
      </c>
      <c r="BN551" s="107"/>
      <c r="BO551" s="107"/>
      <c r="BP551" s="107"/>
      <c r="BQ551" s="109"/>
      <c r="BR551" s="109"/>
      <c r="BS551" s="109"/>
      <c r="BT551" s="109"/>
      <c r="BU551" s="138"/>
    </row>
    <row r="552" spans="1:73" ht="43.5" customHeight="1" outlineLevel="2">
      <c r="A552" s="35" t="s">
        <v>1356</v>
      </c>
      <c r="B552" s="19" t="s">
        <v>844</v>
      </c>
      <c r="C552" s="20" t="s">
        <v>1496</v>
      </c>
      <c r="D552" s="218" t="s">
        <v>845</v>
      </c>
      <c r="E552" s="203" t="s">
        <v>2355</v>
      </c>
      <c r="F552" s="108">
        <f t="shared" si="86"/>
        <v>37346.046709999995</v>
      </c>
      <c r="G552" s="106">
        <f t="shared" si="97"/>
        <v>14412.608059999999</v>
      </c>
      <c r="H552" s="106">
        <f t="shared" si="98"/>
        <v>22933.438649999996</v>
      </c>
      <c r="I552" s="107">
        <v>100.21378</v>
      </c>
      <c r="J552" s="107"/>
      <c r="K552" s="124">
        <v>2891.0203</v>
      </c>
      <c r="L552" s="107">
        <v>512.41276</v>
      </c>
      <c r="M552" s="107">
        <v>3394.83469</v>
      </c>
      <c r="N552" s="107"/>
      <c r="O552" s="106"/>
      <c r="P552" s="106"/>
      <c r="Q552" s="106"/>
      <c r="R552" s="106"/>
      <c r="S552" s="106">
        <v>298.10302</v>
      </c>
      <c r="T552" s="106">
        <v>74.52575</v>
      </c>
      <c r="U552" s="106">
        <v>2930.76028</v>
      </c>
      <c r="V552" s="106">
        <v>264.554</v>
      </c>
      <c r="W552" s="133">
        <v>521.10554</v>
      </c>
      <c r="X552" s="133">
        <v>272.05357</v>
      </c>
      <c r="Y552" s="107">
        <v>821.62186</v>
      </c>
      <c r="Z552" s="107">
        <v>1717.695</v>
      </c>
      <c r="AA552" s="159">
        <v>315.13225</v>
      </c>
      <c r="AB552" s="106">
        <v>158.45847</v>
      </c>
      <c r="AC552" s="107"/>
      <c r="AD552" s="107"/>
      <c r="AE552" s="107"/>
      <c r="AF552" s="107"/>
      <c r="AG552" s="107">
        <v>68.2605</v>
      </c>
      <c r="AH552" s="107"/>
      <c r="AI552" s="107"/>
      <c r="AJ552" s="108">
        <v>1301.19136</v>
      </c>
      <c r="AK552" s="107">
        <f>84.5004+51.881</f>
        <v>136.38139999999999</v>
      </c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7"/>
      <c r="AV552" s="107"/>
      <c r="AW552" s="107"/>
      <c r="AX552" s="107">
        <v>4446.00588</v>
      </c>
      <c r="AY552" s="106">
        <v>2062.54806</v>
      </c>
      <c r="AZ552" s="107"/>
      <c r="BA552" s="107">
        <v>5274.33843</v>
      </c>
      <c r="BB552" s="107"/>
      <c r="BC552" s="107">
        <v>2088.64515</v>
      </c>
      <c r="BD552" s="107">
        <v>2048.18304</v>
      </c>
      <c r="BE552" s="107"/>
      <c r="BF552" s="107"/>
      <c r="BG552" s="107"/>
      <c r="BH552" s="107"/>
      <c r="BI552" s="107"/>
      <c r="BJ552" s="107">
        <v>5572.19257</v>
      </c>
      <c r="BK552" s="107"/>
      <c r="BL552" s="107"/>
      <c r="BM552" s="107">
        <v>75.80905</v>
      </c>
      <c r="BN552" s="107"/>
      <c r="BO552" s="107"/>
      <c r="BP552" s="107"/>
      <c r="BQ552" s="109"/>
      <c r="BR552" s="109"/>
      <c r="BS552" s="109"/>
      <c r="BT552" s="109"/>
      <c r="BU552" s="138"/>
    </row>
    <row r="553" spans="1:73" ht="43.5" customHeight="1" outlineLevel="2">
      <c r="A553" s="24" t="s">
        <v>1356</v>
      </c>
      <c r="B553" s="19" t="s">
        <v>1269</v>
      </c>
      <c r="C553" s="20" t="s">
        <v>1496</v>
      </c>
      <c r="D553" s="218" t="s">
        <v>1700</v>
      </c>
      <c r="E553" s="203" t="s">
        <v>2354</v>
      </c>
      <c r="F553" s="108">
        <f aca="true" t="shared" si="99" ref="F553:F568">G553+H553</f>
        <v>36792.64853</v>
      </c>
      <c r="G553" s="106">
        <f t="shared" si="97"/>
        <v>9960.22123</v>
      </c>
      <c r="H553" s="106">
        <f t="shared" si="98"/>
        <v>26832.4273</v>
      </c>
      <c r="I553" s="107">
        <v>336.70849</v>
      </c>
      <c r="J553" s="107">
        <v>109.98803</v>
      </c>
      <c r="K553" s="107">
        <v>1419.47128</v>
      </c>
      <c r="L553" s="107">
        <v>113.63772</v>
      </c>
      <c r="M553" s="107">
        <v>5535.95805</v>
      </c>
      <c r="N553" s="107"/>
      <c r="O553" s="106"/>
      <c r="P553" s="106"/>
      <c r="Q553" s="106"/>
      <c r="R553" s="106"/>
      <c r="S553" s="106">
        <f>664.17521+56.05479</f>
        <v>720.23</v>
      </c>
      <c r="T553" s="106">
        <f>199.60045+14.0137</f>
        <v>213.61415</v>
      </c>
      <c r="U553" s="106"/>
      <c r="V553" s="106"/>
      <c r="W553" s="106">
        <v>1403.80087</v>
      </c>
      <c r="X553" s="106">
        <v>732.88234</v>
      </c>
      <c r="Y553" s="107">
        <v>499.3644</v>
      </c>
      <c r="Z553" s="107">
        <v>706.734</v>
      </c>
      <c r="AA553" s="159">
        <v>495.82925</v>
      </c>
      <c r="AB553" s="106">
        <v>253.53356</v>
      </c>
      <c r="AC553" s="107"/>
      <c r="AD553" s="107"/>
      <c r="AE553" s="107"/>
      <c r="AF553" s="107"/>
      <c r="AG553" s="107"/>
      <c r="AH553" s="107"/>
      <c r="AI553" s="107"/>
      <c r="AJ553" s="108">
        <v>1897.4176400000001</v>
      </c>
      <c r="AK553" s="107">
        <v>38.2956</v>
      </c>
      <c r="AL553" s="107"/>
      <c r="AM553" s="107"/>
      <c r="AN553" s="107">
        <v>2292.4636</v>
      </c>
      <c r="AO553" s="107"/>
      <c r="AP553" s="107"/>
      <c r="AQ553" s="107"/>
      <c r="AR553" s="107"/>
      <c r="AS553" s="107"/>
      <c r="AT553" s="107"/>
      <c r="AU553" s="107"/>
      <c r="AV553" s="107"/>
      <c r="AW553" s="107"/>
      <c r="AX553" s="107">
        <v>2589.85334</v>
      </c>
      <c r="AY553" s="106">
        <v>1246.11437</v>
      </c>
      <c r="AZ553" s="107"/>
      <c r="BA553" s="107">
        <f>989.63145+6600.59584</f>
        <v>7590.22729</v>
      </c>
      <c r="BB553" s="107"/>
      <c r="BC553" s="107">
        <v>2494.9636</v>
      </c>
      <c r="BD553" s="107">
        <v>2446.68123</v>
      </c>
      <c r="BE553" s="107"/>
      <c r="BF553" s="107"/>
      <c r="BG553" s="107"/>
      <c r="BH553" s="107"/>
      <c r="BI553" s="107"/>
      <c r="BJ553" s="107">
        <v>3118.29632</v>
      </c>
      <c r="BK553" s="107"/>
      <c r="BL553" s="107"/>
      <c r="BM553" s="107">
        <v>536.5834</v>
      </c>
      <c r="BN553" s="107"/>
      <c r="BO553" s="107"/>
      <c r="BP553" s="107"/>
      <c r="BQ553" s="109"/>
      <c r="BR553" s="109"/>
      <c r="BS553" s="109"/>
      <c r="BT553" s="109"/>
      <c r="BU553" s="138"/>
    </row>
    <row r="554" spans="1:73" ht="41.25" customHeight="1" outlineLevel="2">
      <c r="A554" s="35" t="s">
        <v>1356</v>
      </c>
      <c r="B554" s="19" t="s">
        <v>959</v>
      </c>
      <c r="C554" s="20" t="s">
        <v>1496</v>
      </c>
      <c r="D554" s="218" t="s">
        <v>572</v>
      </c>
      <c r="E554" s="203" t="s">
        <v>2356</v>
      </c>
      <c r="F554" s="108">
        <f t="shared" si="99"/>
        <v>762.34896</v>
      </c>
      <c r="G554" s="106">
        <f t="shared" si="97"/>
        <v>181.89762</v>
      </c>
      <c r="H554" s="106">
        <f t="shared" si="98"/>
        <v>580.4513400000001</v>
      </c>
      <c r="I554" s="107"/>
      <c r="J554" s="107"/>
      <c r="K554" s="107"/>
      <c r="L554" s="107"/>
      <c r="M554" s="107">
        <v>198.16323</v>
      </c>
      <c r="N554" s="107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7"/>
      <c r="Z554" s="107"/>
      <c r="AA554" s="106"/>
      <c r="AB554" s="106"/>
      <c r="AC554" s="107"/>
      <c r="AD554" s="107"/>
      <c r="AE554" s="107"/>
      <c r="AF554" s="107"/>
      <c r="AG554" s="107"/>
      <c r="AH554" s="107"/>
      <c r="AI554" s="107"/>
      <c r="AJ554" s="108">
        <v>65.75504</v>
      </c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7"/>
      <c r="AV554" s="107"/>
      <c r="AW554" s="107"/>
      <c r="AX554" s="107"/>
      <c r="AY554" s="106"/>
      <c r="AZ554" s="107"/>
      <c r="BA554" s="107"/>
      <c r="BB554" s="107"/>
      <c r="BC554" s="107">
        <v>181.89762</v>
      </c>
      <c r="BD554" s="107">
        <v>178.38301</v>
      </c>
      <c r="BE554" s="107"/>
      <c r="BF554" s="107"/>
      <c r="BG554" s="107"/>
      <c r="BH554" s="107"/>
      <c r="BI554" s="107"/>
      <c r="BJ554" s="107">
        <v>138.15006</v>
      </c>
      <c r="BK554" s="107"/>
      <c r="BL554" s="107"/>
      <c r="BM554" s="107"/>
      <c r="BN554" s="107"/>
      <c r="BO554" s="107"/>
      <c r="BP554" s="107"/>
      <c r="BQ554" s="109"/>
      <c r="BR554" s="109"/>
      <c r="BS554" s="109"/>
      <c r="BT554" s="109"/>
      <c r="BU554" s="138"/>
    </row>
    <row r="555" spans="1:73" ht="42" customHeight="1" outlineLevel="2">
      <c r="A555" s="24" t="s">
        <v>1356</v>
      </c>
      <c r="B555" s="19" t="s">
        <v>1111</v>
      </c>
      <c r="C555" s="20" t="s">
        <v>1496</v>
      </c>
      <c r="D555" s="218" t="s">
        <v>489</v>
      </c>
      <c r="E555" s="203" t="s">
        <v>2358</v>
      </c>
      <c r="F555" s="108">
        <f t="shared" si="99"/>
        <v>1033.18465</v>
      </c>
      <c r="G555" s="106">
        <f t="shared" si="97"/>
        <v>379.47198999999995</v>
      </c>
      <c r="H555" s="106">
        <f t="shared" si="98"/>
        <v>653.71266</v>
      </c>
      <c r="I555" s="107"/>
      <c r="J555" s="107"/>
      <c r="K555" s="107">
        <v>173.47554</v>
      </c>
      <c r="L555" s="107">
        <v>20.39116</v>
      </c>
      <c r="M555" s="107"/>
      <c r="N555" s="107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7"/>
      <c r="Z555" s="107"/>
      <c r="AA555" s="159">
        <v>99.42145</v>
      </c>
      <c r="AB555" s="106">
        <v>59.42193</v>
      </c>
      <c r="AC555" s="107"/>
      <c r="AD555" s="107"/>
      <c r="AE555" s="107"/>
      <c r="AF555" s="107"/>
      <c r="AG555" s="107"/>
      <c r="AH555" s="107"/>
      <c r="AI555" s="107"/>
      <c r="AJ555" s="108">
        <v>42.01392</v>
      </c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7"/>
      <c r="AV555" s="107"/>
      <c r="AW555" s="107"/>
      <c r="AX555" s="107"/>
      <c r="AY555" s="106"/>
      <c r="AZ555" s="107"/>
      <c r="BA555" s="107">
        <v>427.3717</v>
      </c>
      <c r="BB555" s="107"/>
      <c r="BC555" s="107">
        <v>106.575</v>
      </c>
      <c r="BD555" s="107">
        <v>104.51395</v>
      </c>
      <c r="BE555" s="107"/>
      <c r="BF555" s="107"/>
      <c r="BG555" s="107"/>
      <c r="BH555" s="107"/>
      <c r="BI555" s="107"/>
      <c r="BJ555" s="107"/>
      <c r="BK555" s="107"/>
      <c r="BL555" s="107"/>
      <c r="BM555" s="107"/>
      <c r="BN555" s="107"/>
      <c r="BO555" s="107"/>
      <c r="BP555" s="107"/>
      <c r="BQ555" s="109"/>
      <c r="BR555" s="109"/>
      <c r="BS555" s="109"/>
      <c r="BT555" s="109"/>
      <c r="BU555" s="138"/>
    </row>
    <row r="556" spans="1:73" ht="39" customHeight="1" outlineLevel="2">
      <c r="A556" s="24" t="s">
        <v>1356</v>
      </c>
      <c r="B556" s="19" t="s">
        <v>324</v>
      </c>
      <c r="C556" s="20" t="s">
        <v>1496</v>
      </c>
      <c r="D556" s="218" t="s">
        <v>530</v>
      </c>
      <c r="E556" s="203" t="s">
        <v>2357</v>
      </c>
      <c r="F556" s="108">
        <f t="shared" si="99"/>
        <v>6946.13433</v>
      </c>
      <c r="G556" s="106">
        <f t="shared" si="97"/>
        <v>3503.54172</v>
      </c>
      <c r="H556" s="106">
        <f t="shared" si="98"/>
        <v>3442.5926099999997</v>
      </c>
      <c r="I556" s="107"/>
      <c r="J556" s="107"/>
      <c r="K556" s="107">
        <v>306.09433</v>
      </c>
      <c r="L556" s="107">
        <v>64.21361</v>
      </c>
      <c r="M556" s="107">
        <v>164.87627</v>
      </c>
      <c r="N556" s="107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7">
        <v>51.68</v>
      </c>
      <c r="Z556" s="107">
        <v>135.762</v>
      </c>
      <c r="AA556" s="159">
        <v>581.0499</v>
      </c>
      <c r="AB556" s="106">
        <v>297.10964</v>
      </c>
      <c r="AC556" s="107"/>
      <c r="AD556" s="107"/>
      <c r="AE556" s="107"/>
      <c r="AF556" s="107"/>
      <c r="AG556" s="107">
        <v>7.2102</v>
      </c>
      <c r="AH556" s="107"/>
      <c r="AI556" s="107"/>
      <c r="AJ556" s="108">
        <v>380.5056</v>
      </c>
      <c r="AK556" s="107">
        <v>16.4368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7"/>
      <c r="AV556" s="107"/>
      <c r="AW556" s="107"/>
      <c r="AX556" s="107">
        <v>1099.52226</v>
      </c>
      <c r="AY556" s="106">
        <v>402.93294</v>
      </c>
      <c r="AZ556" s="107"/>
      <c r="BA556" s="107"/>
      <c r="BB556" s="107"/>
      <c r="BC556" s="107">
        <v>1465.19523</v>
      </c>
      <c r="BD556" s="107">
        <v>1436.84046</v>
      </c>
      <c r="BE556" s="107"/>
      <c r="BF556" s="107"/>
      <c r="BG556" s="107"/>
      <c r="BH556" s="107"/>
      <c r="BI556" s="107"/>
      <c r="BJ556" s="107">
        <v>435.46157</v>
      </c>
      <c r="BK556" s="107"/>
      <c r="BL556" s="107"/>
      <c r="BM556" s="107">
        <v>101.24352</v>
      </c>
      <c r="BN556" s="107"/>
      <c r="BO556" s="107"/>
      <c r="BP556" s="107"/>
      <c r="BQ556" s="109"/>
      <c r="BR556" s="109"/>
      <c r="BS556" s="109"/>
      <c r="BT556" s="109"/>
      <c r="BU556" s="138"/>
    </row>
    <row r="557" spans="1:73" ht="42" customHeight="1" outlineLevel="2">
      <c r="A557" s="24" t="s">
        <v>1356</v>
      </c>
      <c r="B557" s="19" t="s">
        <v>1110</v>
      </c>
      <c r="C557" s="20" t="s">
        <v>1496</v>
      </c>
      <c r="D557" s="218" t="s">
        <v>471</v>
      </c>
      <c r="E557" s="203" t="s">
        <v>2359</v>
      </c>
      <c r="F557" s="108">
        <f t="shared" si="99"/>
        <v>190.35697</v>
      </c>
      <c r="G557" s="106">
        <f t="shared" si="97"/>
        <v>103.16215</v>
      </c>
      <c r="H557" s="106">
        <f t="shared" si="98"/>
        <v>87.19481999999999</v>
      </c>
      <c r="I557" s="107"/>
      <c r="J557" s="107"/>
      <c r="K557" s="107">
        <v>14.95172</v>
      </c>
      <c r="L557" s="107">
        <v>1.90832</v>
      </c>
      <c r="M557" s="107"/>
      <c r="N557" s="107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7"/>
      <c r="Z557" s="107"/>
      <c r="AA557" s="159">
        <v>41.9118</v>
      </c>
      <c r="AB557" s="106">
        <v>21.78804</v>
      </c>
      <c r="AC557" s="107"/>
      <c r="AD557" s="107"/>
      <c r="AE557" s="107"/>
      <c r="AF557" s="107"/>
      <c r="AG557" s="107"/>
      <c r="AH557" s="107"/>
      <c r="AI557" s="107"/>
      <c r="AJ557" s="108">
        <v>18.095799999999997</v>
      </c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7"/>
      <c r="AV557" s="107"/>
      <c r="AW557" s="107"/>
      <c r="AX557" s="107"/>
      <c r="AY557" s="106"/>
      <c r="AZ557" s="107"/>
      <c r="BA557" s="107"/>
      <c r="BB557" s="107"/>
      <c r="BC557" s="107">
        <v>46.29863</v>
      </c>
      <c r="BD557" s="107">
        <v>45.40266</v>
      </c>
      <c r="BE557" s="107"/>
      <c r="BF557" s="107"/>
      <c r="BG557" s="107"/>
      <c r="BH557" s="107"/>
      <c r="BI557" s="107"/>
      <c r="BJ557" s="107"/>
      <c r="BK557" s="107"/>
      <c r="BL557" s="107"/>
      <c r="BM557" s="107"/>
      <c r="BN557" s="107"/>
      <c r="BO557" s="107"/>
      <c r="BP557" s="107"/>
      <c r="BQ557" s="109"/>
      <c r="BR557" s="109"/>
      <c r="BS557" s="109"/>
      <c r="BT557" s="109"/>
      <c r="BU557" s="138"/>
    </row>
    <row r="558" spans="1:73" ht="36" customHeight="1" outlineLevel="2">
      <c r="A558" s="35" t="s">
        <v>1356</v>
      </c>
      <c r="B558" s="19" t="s">
        <v>325</v>
      </c>
      <c r="C558" s="20" t="s">
        <v>1496</v>
      </c>
      <c r="D558" s="218" t="s">
        <v>557</v>
      </c>
      <c r="E558" s="203" t="s">
        <v>2349</v>
      </c>
      <c r="F558" s="108">
        <f t="shared" si="99"/>
        <v>20343.167180000004</v>
      </c>
      <c r="G558" s="106">
        <f t="shared" si="97"/>
        <v>12008.459850000001</v>
      </c>
      <c r="H558" s="106">
        <f t="shared" si="98"/>
        <v>8334.707330000001</v>
      </c>
      <c r="I558" s="107"/>
      <c r="J558" s="107"/>
      <c r="K558" s="107">
        <v>1434.06941</v>
      </c>
      <c r="L558" s="107">
        <v>285.25447</v>
      </c>
      <c r="M558" s="107">
        <v>1131.79099</v>
      </c>
      <c r="N558" s="107"/>
      <c r="O558" s="106"/>
      <c r="P558" s="106"/>
      <c r="Q558" s="106">
        <v>667.79655</v>
      </c>
      <c r="R558" s="106"/>
      <c r="S558" s="106"/>
      <c r="T558" s="106"/>
      <c r="U558" s="106"/>
      <c r="V558" s="106"/>
      <c r="W558" s="106"/>
      <c r="X558" s="106"/>
      <c r="Y558" s="107">
        <v>121.4</v>
      </c>
      <c r="Z558" s="107">
        <v>79.86</v>
      </c>
      <c r="AA558" s="159">
        <v>293.54014</v>
      </c>
      <c r="AB558" s="106">
        <v>145.18758</v>
      </c>
      <c r="AC558" s="107"/>
      <c r="AD558" s="107"/>
      <c r="AE558" s="107"/>
      <c r="AF558" s="107"/>
      <c r="AG558" s="107">
        <v>20.4486</v>
      </c>
      <c r="AH558" s="107"/>
      <c r="AI558" s="107"/>
      <c r="AJ558" s="108">
        <v>403.24744</v>
      </c>
      <c r="AK558" s="107">
        <f>60.2596+77.8215</f>
        <v>138.0811</v>
      </c>
      <c r="AL558" s="107"/>
      <c r="AM558" s="107"/>
      <c r="AN558" s="107"/>
      <c r="AO558" s="107">
        <v>4105.5399</v>
      </c>
      <c r="AP558" s="107">
        <v>889.2</v>
      </c>
      <c r="AQ558" s="107"/>
      <c r="AR558" s="107"/>
      <c r="AS558" s="107"/>
      <c r="AT558" s="107"/>
      <c r="AU558" s="107"/>
      <c r="AV558" s="107"/>
      <c r="AW558" s="107"/>
      <c r="AX558" s="107">
        <v>3561.63378</v>
      </c>
      <c r="AY558" s="106">
        <v>1843.13396</v>
      </c>
      <c r="AZ558" s="107"/>
      <c r="BA558" s="107"/>
      <c r="BB558" s="107"/>
      <c r="BC558" s="107">
        <v>2492.27662</v>
      </c>
      <c r="BD558" s="107">
        <v>2444.14031</v>
      </c>
      <c r="BE558" s="107"/>
      <c r="BF558" s="107"/>
      <c r="BG558" s="107"/>
      <c r="BH558" s="107"/>
      <c r="BI558" s="107"/>
      <c r="BJ558" s="107">
        <v>286.56633</v>
      </c>
      <c r="BK558" s="107"/>
      <c r="BL558" s="107"/>
      <c r="BM558" s="107"/>
      <c r="BN558" s="107"/>
      <c r="BO558" s="107"/>
      <c r="BP558" s="107"/>
      <c r="BQ558" s="109"/>
      <c r="BR558" s="109"/>
      <c r="BS558" s="109"/>
      <c r="BT558" s="109"/>
      <c r="BU558" s="138"/>
    </row>
    <row r="559" spans="1:73" ht="39" customHeight="1" outlineLevel="2">
      <c r="A559" s="35" t="s">
        <v>1356</v>
      </c>
      <c r="B559" s="19" t="s">
        <v>1006</v>
      </c>
      <c r="C559" s="20" t="s">
        <v>1496</v>
      </c>
      <c r="D559" s="218" t="s">
        <v>1420</v>
      </c>
      <c r="E559" s="203" t="s">
        <v>2351</v>
      </c>
      <c r="F559" s="108">
        <f t="shared" si="99"/>
        <v>15685.997780000002</v>
      </c>
      <c r="G559" s="106">
        <f t="shared" si="97"/>
        <v>9110.601340000001</v>
      </c>
      <c r="H559" s="106">
        <f t="shared" si="98"/>
        <v>6575.39644</v>
      </c>
      <c r="I559" s="107"/>
      <c r="J559" s="107"/>
      <c r="K559" s="107">
        <v>903.6033</v>
      </c>
      <c r="L559" s="107">
        <v>176.40259</v>
      </c>
      <c r="M559" s="107">
        <v>303.97395</v>
      </c>
      <c r="N559" s="107"/>
      <c r="O559" s="106"/>
      <c r="P559" s="106"/>
      <c r="Q559" s="106"/>
      <c r="R559" s="106"/>
      <c r="S559" s="106"/>
      <c r="T559" s="106"/>
      <c r="U559" s="106"/>
      <c r="V559" s="106"/>
      <c r="W559" s="106">
        <v>900.7755</v>
      </c>
      <c r="X559" s="106">
        <v>470.26787</v>
      </c>
      <c r="Y559" s="107">
        <v>42.16</v>
      </c>
      <c r="Z559" s="107">
        <v>120.144</v>
      </c>
      <c r="AA559" s="159">
        <v>74.34057</v>
      </c>
      <c r="AB559" s="106">
        <v>47.53754</v>
      </c>
      <c r="AC559" s="107"/>
      <c r="AD559" s="107"/>
      <c r="AE559" s="107"/>
      <c r="AF559" s="107"/>
      <c r="AG559" s="107">
        <v>30.3774</v>
      </c>
      <c r="AH559" s="107"/>
      <c r="AI559" s="107"/>
      <c r="AJ559" s="108">
        <v>1486.01364</v>
      </c>
      <c r="AK559" s="107">
        <f>56.259+51.881</f>
        <v>108.14</v>
      </c>
      <c r="AL559" s="107"/>
      <c r="AM559" s="107"/>
      <c r="AN559" s="107"/>
      <c r="AO559" s="107">
        <v>3091.9144</v>
      </c>
      <c r="AP559" s="107">
        <v>837.2</v>
      </c>
      <c r="AQ559" s="107"/>
      <c r="AR559" s="107"/>
      <c r="AS559" s="107"/>
      <c r="AT559" s="107"/>
      <c r="AU559" s="107"/>
      <c r="AV559" s="107"/>
      <c r="AW559" s="107"/>
      <c r="AX559" s="107">
        <v>2625.51022</v>
      </c>
      <c r="AY559" s="106">
        <v>1493.97734</v>
      </c>
      <c r="AZ559" s="107"/>
      <c r="BA559" s="107"/>
      <c r="BB559" s="107"/>
      <c r="BC559" s="107">
        <v>1472.29735</v>
      </c>
      <c r="BD559" s="107">
        <v>1443.86707</v>
      </c>
      <c r="BE559" s="107"/>
      <c r="BF559" s="107"/>
      <c r="BG559" s="107"/>
      <c r="BH559" s="107"/>
      <c r="BI559" s="107"/>
      <c r="BJ559" s="107">
        <v>57.49504</v>
      </c>
      <c r="BK559" s="107"/>
      <c r="BL559" s="107"/>
      <c r="BM559" s="107"/>
      <c r="BN559" s="107"/>
      <c r="BO559" s="107"/>
      <c r="BP559" s="107"/>
      <c r="BQ559" s="109"/>
      <c r="BR559" s="109"/>
      <c r="BS559" s="109"/>
      <c r="BT559" s="109"/>
      <c r="BU559" s="138"/>
    </row>
    <row r="560" spans="1:73" ht="32.25" customHeight="1" outlineLevel="2">
      <c r="A560" s="35" t="s">
        <v>1356</v>
      </c>
      <c r="B560" s="19" t="s">
        <v>17</v>
      </c>
      <c r="C560" s="20" t="s">
        <v>1496</v>
      </c>
      <c r="D560" s="218" t="s">
        <v>18</v>
      </c>
      <c r="E560" s="203" t="s">
        <v>2350</v>
      </c>
      <c r="F560" s="108">
        <f t="shared" si="99"/>
        <v>12232.70798</v>
      </c>
      <c r="G560" s="106">
        <f t="shared" si="97"/>
        <v>3023.27152</v>
      </c>
      <c r="H560" s="106">
        <f t="shared" si="98"/>
        <v>9209.436459999999</v>
      </c>
      <c r="I560" s="107">
        <v>12.29756</v>
      </c>
      <c r="J560" s="107">
        <v>2.8379</v>
      </c>
      <c r="K560" s="124">
        <v>1157.12145</v>
      </c>
      <c r="L560" s="107">
        <v>291.76129</v>
      </c>
      <c r="M560" s="107">
        <v>636.0996</v>
      </c>
      <c r="N560" s="107"/>
      <c r="O560" s="106"/>
      <c r="P560" s="106"/>
      <c r="Q560" s="106">
        <v>231.46911</v>
      </c>
      <c r="R560" s="106"/>
      <c r="S560" s="106">
        <v>106.61964</v>
      </c>
      <c r="T560" s="106">
        <v>26.65492</v>
      </c>
      <c r="U560" s="106"/>
      <c r="V560" s="106"/>
      <c r="W560" s="106"/>
      <c r="X560" s="106"/>
      <c r="Y560" s="107">
        <v>60.4</v>
      </c>
      <c r="Z560" s="107">
        <v>79.86</v>
      </c>
      <c r="AA560" s="159">
        <v>257.04076</v>
      </c>
      <c r="AB560" s="106">
        <v>143.00877</v>
      </c>
      <c r="AC560" s="107"/>
      <c r="AD560" s="107"/>
      <c r="AE560" s="107"/>
      <c r="AF560" s="107"/>
      <c r="AG560" s="107">
        <v>26.9496</v>
      </c>
      <c r="AH560" s="107"/>
      <c r="AI560" s="107"/>
      <c r="AJ560" s="108">
        <v>439.54224</v>
      </c>
      <c r="AK560" s="107">
        <v>12.7718</v>
      </c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7"/>
      <c r="AV560" s="107"/>
      <c r="AW560" s="107"/>
      <c r="AX560" s="107">
        <v>420.08</v>
      </c>
      <c r="AY560" s="106">
        <v>836.75069</v>
      </c>
      <c r="AZ560" s="107"/>
      <c r="BA560" s="107">
        <v>1178.55756</v>
      </c>
      <c r="BB560" s="107"/>
      <c r="BC560" s="107">
        <v>1009.71211</v>
      </c>
      <c r="BD560" s="107">
        <v>990.17722</v>
      </c>
      <c r="BE560" s="107"/>
      <c r="BF560" s="107"/>
      <c r="BG560" s="107"/>
      <c r="BH560" s="107"/>
      <c r="BI560" s="107"/>
      <c r="BJ560" s="107">
        <v>3845.50199</v>
      </c>
      <c r="BK560" s="107"/>
      <c r="BL560" s="107"/>
      <c r="BM560" s="107">
        <v>467.49377</v>
      </c>
      <c r="BN560" s="107"/>
      <c r="BO560" s="107"/>
      <c r="BP560" s="107"/>
      <c r="BQ560" s="109"/>
      <c r="BR560" s="109"/>
      <c r="BS560" s="109"/>
      <c r="BT560" s="109"/>
      <c r="BU560" s="138"/>
    </row>
    <row r="561" spans="1:73" ht="53.25" customHeight="1" outlineLevel="2">
      <c r="A561" s="24" t="s">
        <v>1356</v>
      </c>
      <c r="B561" s="19" t="s">
        <v>1650</v>
      </c>
      <c r="C561" s="20" t="s">
        <v>587</v>
      </c>
      <c r="D561" s="218" t="s">
        <v>533</v>
      </c>
      <c r="E561" s="203" t="s">
        <v>2360</v>
      </c>
      <c r="F561" s="108">
        <f t="shared" si="99"/>
        <v>3061.4917700000005</v>
      </c>
      <c r="G561" s="106">
        <f t="shared" si="97"/>
        <v>570.27127</v>
      </c>
      <c r="H561" s="106">
        <f t="shared" si="98"/>
        <v>2491.2205000000004</v>
      </c>
      <c r="I561" s="107"/>
      <c r="J561" s="107"/>
      <c r="K561" s="107">
        <v>292.11053</v>
      </c>
      <c r="L561" s="107">
        <v>146.05524</v>
      </c>
      <c r="M561" s="107"/>
      <c r="N561" s="107"/>
      <c r="O561" s="106">
        <v>4.47563</v>
      </c>
      <c r="P561" s="106">
        <v>0.23179</v>
      </c>
      <c r="Q561" s="106"/>
      <c r="R561" s="106"/>
      <c r="S561" s="106"/>
      <c r="T561" s="106"/>
      <c r="U561" s="106"/>
      <c r="V561" s="106"/>
      <c r="W561" s="106"/>
      <c r="X561" s="106"/>
      <c r="Y561" s="107"/>
      <c r="Z561" s="107"/>
      <c r="AA561" s="159">
        <v>110.49473</v>
      </c>
      <c r="AB561" s="106">
        <v>59.42193</v>
      </c>
      <c r="AC561" s="107"/>
      <c r="AD561" s="107"/>
      <c r="AE561" s="107"/>
      <c r="AF561" s="107"/>
      <c r="AG561" s="107"/>
      <c r="AH561" s="107"/>
      <c r="AI561" s="107"/>
      <c r="AJ561" s="108">
        <v>47.928839999999994</v>
      </c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7"/>
      <c r="AV561" s="107"/>
      <c r="AW561" s="107"/>
      <c r="AX561" s="107"/>
      <c r="AY561" s="106"/>
      <c r="AZ561" s="107"/>
      <c r="BA561" s="107"/>
      <c r="BB561" s="107"/>
      <c r="BC561" s="107">
        <v>163.19038</v>
      </c>
      <c r="BD561" s="107">
        <v>160.03808</v>
      </c>
      <c r="BE561" s="107"/>
      <c r="BF561" s="107"/>
      <c r="BG561" s="107"/>
      <c r="BH561" s="107"/>
      <c r="BI561" s="107"/>
      <c r="BJ561" s="107">
        <v>2077.54462</v>
      </c>
      <c r="BK561" s="107"/>
      <c r="BL561" s="107"/>
      <c r="BM561" s="107"/>
      <c r="BN561" s="107"/>
      <c r="BO561" s="107"/>
      <c r="BP561" s="107"/>
      <c r="BQ561" s="109"/>
      <c r="BR561" s="109"/>
      <c r="BS561" s="109"/>
      <c r="BT561" s="109"/>
      <c r="BU561" s="138"/>
    </row>
    <row r="562" spans="1:73" ht="39.75" customHeight="1" outlineLevel="2">
      <c r="A562" s="24" t="s">
        <v>1356</v>
      </c>
      <c r="B562" s="19" t="s">
        <v>330</v>
      </c>
      <c r="C562" s="20" t="s">
        <v>587</v>
      </c>
      <c r="D562" s="218" t="s">
        <v>1084</v>
      </c>
      <c r="E562" s="203" t="s">
        <v>2361</v>
      </c>
      <c r="F562" s="108">
        <f t="shared" si="99"/>
        <v>1522.1381500000002</v>
      </c>
      <c r="G562" s="106">
        <f t="shared" si="97"/>
        <v>772.4182800000001</v>
      </c>
      <c r="H562" s="106">
        <f t="shared" si="98"/>
        <v>749.71987</v>
      </c>
      <c r="I562" s="107"/>
      <c r="J562" s="107"/>
      <c r="K562" s="107"/>
      <c r="L562" s="107"/>
      <c r="M562" s="107"/>
      <c r="N562" s="107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7"/>
      <c r="Z562" s="107"/>
      <c r="AA562" s="159">
        <v>320.37123</v>
      </c>
      <c r="AB562" s="106">
        <v>158.45847</v>
      </c>
      <c r="AC562" s="107"/>
      <c r="AD562" s="107"/>
      <c r="AE562" s="107"/>
      <c r="AF562" s="107"/>
      <c r="AG562" s="107">
        <v>58.0362</v>
      </c>
      <c r="AH562" s="107"/>
      <c r="AI562" s="107"/>
      <c r="AJ562" s="108">
        <v>89.94275999999999</v>
      </c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7"/>
      <c r="AV562" s="107"/>
      <c r="AW562" s="107"/>
      <c r="AX562" s="107"/>
      <c r="AY562" s="106"/>
      <c r="AZ562" s="107"/>
      <c r="BA562" s="107"/>
      <c r="BB562" s="107"/>
      <c r="BC562" s="107">
        <v>452.04705</v>
      </c>
      <c r="BD562" s="107">
        <v>443.28244</v>
      </c>
      <c r="BE562" s="107"/>
      <c r="BF562" s="107"/>
      <c r="BG562" s="107"/>
      <c r="BH562" s="107"/>
      <c r="BI562" s="107"/>
      <c r="BJ562" s="107"/>
      <c r="BK562" s="107"/>
      <c r="BL562" s="107"/>
      <c r="BM562" s="107"/>
      <c r="BN562" s="107"/>
      <c r="BO562" s="107"/>
      <c r="BP562" s="107"/>
      <c r="BQ562" s="109"/>
      <c r="BR562" s="109"/>
      <c r="BS562" s="109"/>
      <c r="BT562" s="109"/>
      <c r="BU562" s="138"/>
    </row>
    <row r="563" spans="1:73" ht="43.5" customHeight="1" outlineLevel="2">
      <c r="A563" s="28" t="s">
        <v>1356</v>
      </c>
      <c r="B563" s="42" t="s">
        <v>632</v>
      </c>
      <c r="C563" s="27" t="s">
        <v>587</v>
      </c>
      <c r="D563" s="219" t="s">
        <v>633</v>
      </c>
      <c r="E563" s="203" t="s">
        <v>2362</v>
      </c>
      <c r="F563" s="108">
        <f t="shared" si="99"/>
        <v>228.51313</v>
      </c>
      <c r="G563" s="106">
        <f t="shared" si="97"/>
        <v>112.07612</v>
      </c>
      <c r="H563" s="106">
        <f t="shared" si="98"/>
        <v>116.43701</v>
      </c>
      <c r="I563" s="113"/>
      <c r="J563" s="113"/>
      <c r="K563" s="113"/>
      <c r="L563" s="113"/>
      <c r="M563" s="113"/>
      <c r="N563" s="113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3">
        <v>3.36713</v>
      </c>
      <c r="Z563" s="113">
        <v>15.972</v>
      </c>
      <c r="AA563" s="162">
        <v>54.02692</v>
      </c>
      <c r="AB563" s="114">
        <v>29.71096</v>
      </c>
      <c r="AC563" s="113"/>
      <c r="AD563" s="113"/>
      <c r="AE563" s="113"/>
      <c r="AF563" s="113"/>
      <c r="AG563" s="113"/>
      <c r="AH563" s="113"/>
      <c r="AI563" s="113"/>
      <c r="AJ563" s="108">
        <v>17.1282</v>
      </c>
      <c r="AK563" s="113"/>
      <c r="AL563" s="113"/>
      <c r="AM563" s="113"/>
      <c r="AN563" s="113"/>
      <c r="AO563" s="113"/>
      <c r="AP563" s="113"/>
      <c r="AQ563" s="113"/>
      <c r="AR563" s="113"/>
      <c r="AS563" s="113"/>
      <c r="AT563" s="113"/>
      <c r="AU563" s="113"/>
      <c r="AV563" s="113"/>
      <c r="AW563" s="113"/>
      <c r="AX563" s="113"/>
      <c r="AY563" s="114"/>
      <c r="AZ563" s="113"/>
      <c r="BA563" s="113"/>
      <c r="BB563" s="113"/>
      <c r="BC563" s="113">
        <v>54.68207</v>
      </c>
      <c r="BD563" s="113">
        <v>53.62585</v>
      </c>
      <c r="BE563" s="113"/>
      <c r="BF563" s="113"/>
      <c r="BG563" s="113"/>
      <c r="BH563" s="113"/>
      <c r="BI563" s="113"/>
      <c r="BJ563" s="113"/>
      <c r="BK563" s="113"/>
      <c r="BL563" s="113"/>
      <c r="BM563" s="113"/>
      <c r="BN563" s="113"/>
      <c r="BO563" s="113"/>
      <c r="BP563" s="113"/>
      <c r="BQ563" s="115"/>
      <c r="BR563" s="115"/>
      <c r="BS563" s="115"/>
      <c r="BT563" s="115"/>
      <c r="BU563" s="139"/>
    </row>
    <row r="564" spans="1:73" ht="39" customHeight="1" outlineLevel="2">
      <c r="A564" s="35" t="s">
        <v>1356</v>
      </c>
      <c r="B564" s="19" t="s">
        <v>1519</v>
      </c>
      <c r="C564" s="20" t="s">
        <v>710</v>
      </c>
      <c r="D564" s="249" t="s">
        <v>1549</v>
      </c>
      <c r="E564" s="250" t="s">
        <v>2363</v>
      </c>
      <c r="F564" s="108">
        <f t="shared" si="99"/>
        <v>58.54397</v>
      </c>
      <c r="G564" s="106">
        <f t="shared" si="97"/>
        <v>38.73666</v>
      </c>
      <c r="H564" s="106">
        <f t="shared" si="98"/>
        <v>19.80731</v>
      </c>
      <c r="I564" s="107"/>
      <c r="J564" s="107"/>
      <c r="K564" s="107"/>
      <c r="L564" s="107"/>
      <c r="M564" s="107"/>
      <c r="N564" s="107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7"/>
      <c r="Z564" s="107"/>
      <c r="AA564" s="159">
        <v>38.73666</v>
      </c>
      <c r="AB564" s="106">
        <v>19.80731</v>
      </c>
      <c r="AC564" s="107"/>
      <c r="AD564" s="107"/>
      <c r="AE564" s="107"/>
      <c r="AF564" s="107"/>
      <c r="AG564" s="107"/>
      <c r="AH564" s="107"/>
      <c r="AI564" s="107"/>
      <c r="AJ564" s="108">
        <v>0</v>
      </c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7"/>
      <c r="AV564" s="107"/>
      <c r="AW564" s="107"/>
      <c r="AX564" s="107"/>
      <c r="AY564" s="106"/>
      <c r="AZ564" s="107"/>
      <c r="BA564" s="107"/>
      <c r="BB564" s="107"/>
      <c r="BC564" s="107"/>
      <c r="BD564" s="107"/>
      <c r="BE564" s="107"/>
      <c r="BF564" s="107"/>
      <c r="BG564" s="107"/>
      <c r="BH564" s="107"/>
      <c r="BI564" s="107"/>
      <c r="BJ564" s="107"/>
      <c r="BK564" s="107"/>
      <c r="BL564" s="107"/>
      <c r="BM564" s="107"/>
      <c r="BN564" s="107"/>
      <c r="BO564" s="107"/>
      <c r="BP564" s="107"/>
      <c r="BQ564" s="109"/>
      <c r="BR564" s="109"/>
      <c r="BS564" s="109"/>
      <c r="BT564" s="109"/>
      <c r="BU564" s="138"/>
    </row>
    <row r="565" spans="1:73" ht="39" customHeight="1" outlineLevel="2">
      <c r="A565" s="35" t="s">
        <v>1356</v>
      </c>
      <c r="B565" s="19" t="s">
        <v>1763</v>
      </c>
      <c r="C565" s="27" t="s">
        <v>587</v>
      </c>
      <c r="D565" s="249" t="s">
        <v>1805</v>
      </c>
      <c r="E565" s="250" t="s">
        <v>2364</v>
      </c>
      <c r="F565" s="108">
        <f t="shared" si="99"/>
        <v>1449.9</v>
      </c>
      <c r="G565" s="106">
        <f t="shared" si="97"/>
        <v>1449.9</v>
      </c>
      <c r="H565" s="106">
        <f t="shared" si="98"/>
        <v>0</v>
      </c>
      <c r="I565" s="107"/>
      <c r="J565" s="107"/>
      <c r="K565" s="107"/>
      <c r="L565" s="107"/>
      <c r="M565" s="107"/>
      <c r="N565" s="107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7"/>
      <c r="Z565" s="107"/>
      <c r="AA565" s="159"/>
      <c r="AB565" s="106"/>
      <c r="AC565" s="107"/>
      <c r="AD565" s="107"/>
      <c r="AE565" s="107"/>
      <c r="AF565" s="107"/>
      <c r="AG565" s="107"/>
      <c r="AH565" s="107"/>
      <c r="AI565" s="107"/>
      <c r="AJ565" s="108">
        <v>0</v>
      </c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7"/>
      <c r="AV565" s="107"/>
      <c r="AW565" s="107"/>
      <c r="AX565" s="107"/>
      <c r="AY565" s="106"/>
      <c r="AZ565" s="107"/>
      <c r="BA565" s="107"/>
      <c r="BB565" s="107"/>
      <c r="BC565" s="107"/>
      <c r="BD565" s="107"/>
      <c r="BE565" s="107"/>
      <c r="BF565" s="107"/>
      <c r="BG565" s="107"/>
      <c r="BH565" s="107"/>
      <c r="BI565" s="107"/>
      <c r="BJ565" s="107"/>
      <c r="BK565" s="107"/>
      <c r="BL565" s="107"/>
      <c r="BM565" s="107"/>
      <c r="BN565" s="107"/>
      <c r="BO565" s="107"/>
      <c r="BP565" s="107"/>
      <c r="BQ565" s="109"/>
      <c r="BR565" s="109">
        <v>1449.9</v>
      </c>
      <c r="BS565" s="109"/>
      <c r="BT565" s="109"/>
      <c r="BU565" s="138"/>
    </row>
    <row r="566" spans="1:73" ht="29.25" customHeight="1" outlineLevel="2">
      <c r="A566" s="35" t="s">
        <v>1356</v>
      </c>
      <c r="B566" s="19" t="s">
        <v>1227</v>
      </c>
      <c r="C566" s="20" t="s">
        <v>934</v>
      </c>
      <c r="D566" s="218" t="s">
        <v>2366</v>
      </c>
      <c r="E566" s="203" t="s">
        <v>2365</v>
      </c>
      <c r="F566" s="108">
        <f t="shared" si="99"/>
        <v>34.58283</v>
      </c>
      <c r="G566" s="106">
        <f t="shared" si="97"/>
        <v>0</v>
      </c>
      <c r="H566" s="106">
        <f t="shared" si="98"/>
        <v>34.58283</v>
      </c>
      <c r="I566" s="107"/>
      <c r="J566" s="107"/>
      <c r="K566" s="107"/>
      <c r="L566" s="107"/>
      <c r="M566" s="107"/>
      <c r="N566" s="107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7"/>
      <c r="Z566" s="107"/>
      <c r="AA566" s="106"/>
      <c r="AB566" s="106"/>
      <c r="AC566" s="107"/>
      <c r="AD566" s="107"/>
      <c r="AE566" s="107"/>
      <c r="AF566" s="107"/>
      <c r="AG566" s="107"/>
      <c r="AH566" s="107"/>
      <c r="AI566" s="107"/>
      <c r="AJ566" s="108">
        <v>0</v>
      </c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7"/>
      <c r="AV566" s="107"/>
      <c r="AW566" s="107"/>
      <c r="AX566" s="107"/>
      <c r="AY566" s="106"/>
      <c r="AZ566" s="107"/>
      <c r="BA566" s="107"/>
      <c r="BB566" s="107"/>
      <c r="BC566" s="107"/>
      <c r="BD566" s="107"/>
      <c r="BE566" s="107"/>
      <c r="BF566" s="107"/>
      <c r="BG566" s="107"/>
      <c r="BH566" s="107"/>
      <c r="BI566" s="107"/>
      <c r="BJ566" s="107"/>
      <c r="BK566" s="107"/>
      <c r="BL566" s="107"/>
      <c r="BM566" s="107"/>
      <c r="BN566" s="107">
        <v>34.58283</v>
      </c>
      <c r="BO566" s="107"/>
      <c r="BP566" s="107"/>
      <c r="BQ566" s="109"/>
      <c r="BR566" s="109"/>
      <c r="BS566" s="109"/>
      <c r="BT566" s="109"/>
      <c r="BU566" s="138"/>
    </row>
    <row r="567" spans="1:73" ht="33" customHeight="1" outlineLevel="2">
      <c r="A567" s="35" t="s">
        <v>1356</v>
      </c>
      <c r="B567" s="19" t="s">
        <v>1137</v>
      </c>
      <c r="C567" s="20" t="s">
        <v>934</v>
      </c>
      <c r="D567" s="218" t="s">
        <v>543</v>
      </c>
      <c r="E567" s="203" t="s">
        <v>2367</v>
      </c>
      <c r="F567" s="108">
        <f t="shared" si="99"/>
        <v>7354.18329</v>
      </c>
      <c r="G567" s="106">
        <f t="shared" si="97"/>
        <v>0</v>
      </c>
      <c r="H567" s="106">
        <f t="shared" si="98"/>
        <v>7354.18329</v>
      </c>
      <c r="I567" s="107"/>
      <c r="J567" s="107"/>
      <c r="K567" s="107"/>
      <c r="L567" s="107"/>
      <c r="M567" s="107"/>
      <c r="N567" s="107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7"/>
      <c r="Z567" s="107"/>
      <c r="AA567" s="106"/>
      <c r="AB567" s="106"/>
      <c r="AC567" s="107"/>
      <c r="AD567" s="107"/>
      <c r="AE567" s="107"/>
      <c r="AF567" s="107"/>
      <c r="AG567" s="107"/>
      <c r="AH567" s="107"/>
      <c r="AI567" s="107"/>
      <c r="AJ567" s="108">
        <v>0</v>
      </c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7"/>
      <c r="AV567" s="107"/>
      <c r="AW567" s="107"/>
      <c r="AX567" s="107"/>
      <c r="AY567" s="106"/>
      <c r="AZ567" s="107"/>
      <c r="BA567" s="107"/>
      <c r="BB567" s="107"/>
      <c r="BC567" s="107"/>
      <c r="BD567" s="107"/>
      <c r="BE567" s="107"/>
      <c r="BF567" s="107"/>
      <c r="BG567" s="107"/>
      <c r="BH567" s="107"/>
      <c r="BI567" s="107"/>
      <c r="BJ567" s="107">
        <v>367.21673</v>
      </c>
      <c r="BK567" s="107"/>
      <c r="BL567" s="107"/>
      <c r="BM567" s="107"/>
      <c r="BN567" s="107">
        <v>6986.96656</v>
      </c>
      <c r="BO567" s="107"/>
      <c r="BP567" s="107"/>
      <c r="BQ567" s="109"/>
      <c r="BR567" s="109"/>
      <c r="BS567" s="109"/>
      <c r="BT567" s="109"/>
      <c r="BU567" s="138"/>
    </row>
    <row r="568" spans="1:73" ht="30" customHeight="1" outlineLevel="2" thickBot="1">
      <c r="A568" s="35" t="s">
        <v>1356</v>
      </c>
      <c r="B568" s="19" t="s">
        <v>1154</v>
      </c>
      <c r="C568" s="20" t="s">
        <v>934</v>
      </c>
      <c r="D568" s="218" t="s">
        <v>1591</v>
      </c>
      <c r="E568" s="203" t="s">
        <v>2368</v>
      </c>
      <c r="F568" s="108">
        <f t="shared" si="99"/>
        <v>1691.00991</v>
      </c>
      <c r="G568" s="106">
        <f t="shared" si="97"/>
        <v>0</v>
      </c>
      <c r="H568" s="106">
        <f t="shared" si="98"/>
        <v>1691.00991</v>
      </c>
      <c r="I568" s="107"/>
      <c r="J568" s="107"/>
      <c r="K568" s="107"/>
      <c r="L568" s="107"/>
      <c r="M568" s="107"/>
      <c r="N568" s="107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7"/>
      <c r="Z568" s="107"/>
      <c r="AA568" s="106"/>
      <c r="AB568" s="106"/>
      <c r="AC568" s="107"/>
      <c r="AD568" s="107"/>
      <c r="AE568" s="107"/>
      <c r="AF568" s="107"/>
      <c r="AG568" s="107"/>
      <c r="AH568" s="107"/>
      <c r="AI568" s="107"/>
      <c r="AJ568" s="108">
        <v>0</v>
      </c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7"/>
      <c r="AV568" s="107"/>
      <c r="AW568" s="107"/>
      <c r="AX568" s="107"/>
      <c r="AY568" s="106"/>
      <c r="AZ568" s="107"/>
      <c r="BA568" s="107"/>
      <c r="BB568" s="107"/>
      <c r="BC568" s="107"/>
      <c r="BD568" s="107"/>
      <c r="BE568" s="107"/>
      <c r="BF568" s="107"/>
      <c r="BG568" s="107"/>
      <c r="BH568" s="107"/>
      <c r="BI568" s="107"/>
      <c r="BJ568" s="107"/>
      <c r="BK568" s="107"/>
      <c r="BL568" s="107"/>
      <c r="BM568" s="107"/>
      <c r="BN568" s="107">
        <v>1691.00991</v>
      </c>
      <c r="BO568" s="107"/>
      <c r="BP568" s="107"/>
      <c r="BQ568" s="109"/>
      <c r="BR568" s="109"/>
      <c r="BS568" s="109"/>
      <c r="BT568" s="109"/>
      <c r="BU568" s="138"/>
    </row>
    <row r="569" spans="1:73" s="32" customFormat="1" ht="21" outlineLevel="1" thickBot="1">
      <c r="A569" s="43" t="s">
        <v>634</v>
      </c>
      <c r="B569" s="44"/>
      <c r="C569" s="30" t="s">
        <v>1572</v>
      </c>
      <c r="D569" s="222"/>
      <c r="E569" s="223"/>
      <c r="F569" s="116">
        <f aca="true" t="shared" si="100" ref="F569:AV569">SUBTOTAL(9,F550:F568)</f>
        <v>203126.79601000002</v>
      </c>
      <c r="G569" s="116">
        <f t="shared" si="100"/>
        <v>74876.69999999997</v>
      </c>
      <c r="H569" s="116">
        <f t="shared" si="100"/>
        <v>128250.09600999998</v>
      </c>
      <c r="I569" s="116">
        <f t="shared" si="100"/>
        <v>457.4376</v>
      </c>
      <c r="J569" s="116">
        <f t="shared" si="100"/>
        <v>112.82593</v>
      </c>
      <c r="K569" s="116">
        <f t="shared" si="100"/>
        <v>13662.32058</v>
      </c>
      <c r="L569" s="116">
        <f t="shared" si="100"/>
        <v>2225.2278</v>
      </c>
      <c r="M569" s="116">
        <f t="shared" si="100"/>
        <v>14416.42491</v>
      </c>
      <c r="N569" s="116">
        <f t="shared" si="100"/>
        <v>0</v>
      </c>
      <c r="O569" s="116">
        <f t="shared" si="100"/>
        <v>4.47563</v>
      </c>
      <c r="P569" s="116">
        <f t="shared" si="100"/>
        <v>0.23179</v>
      </c>
      <c r="Q569" s="116">
        <f t="shared" si="100"/>
        <v>899.26566</v>
      </c>
      <c r="R569" s="116">
        <f t="shared" si="100"/>
        <v>0</v>
      </c>
      <c r="S569" s="116">
        <f t="shared" si="100"/>
        <v>1207.94992</v>
      </c>
      <c r="T569" s="116">
        <f t="shared" si="100"/>
        <v>335.54414</v>
      </c>
      <c r="U569" s="116">
        <f t="shared" si="100"/>
        <v>4175.24686</v>
      </c>
      <c r="V569" s="116">
        <f t="shared" si="100"/>
        <v>400.37194</v>
      </c>
      <c r="W569" s="116">
        <f t="shared" si="100"/>
        <v>5337.1048200000005</v>
      </c>
      <c r="X569" s="116">
        <f t="shared" si="100"/>
        <v>2786.3423700000003</v>
      </c>
      <c r="Y569" s="116">
        <f t="shared" si="100"/>
        <v>1951.5402200000003</v>
      </c>
      <c r="Z569" s="116">
        <f t="shared" si="100"/>
        <v>3766.0200000000004</v>
      </c>
      <c r="AA569" s="116">
        <f t="shared" si="100"/>
        <v>3309.9145499999995</v>
      </c>
      <c r="AB569" s="116">
        <f t="shared" si="100"/>
        <v>1769.7830699999997</v>
      </c>
      <c r="AC569" s="116">
        <f t="shared" si="100"/>
        <v>0</v>
      </c>
      <c r="AD569" s="116">
        <f t="shared" si="100"/>
        <v>0</v>
      </c>
      <c r="AE569" s="116">
        <f t="shared" si="100"/>
        <v>0</v>
      </c>
      <c r="AF569" s="116">
        <f t="shared" si="100"/>
        <v>0</v>
      </c>
      <c r="AG569" s="116">
        <f t="shared" si="100"/>
        <v>546.7932</v>
      </c>
      <c r="AH569" s="116">
        <f t="shared" si="100"/>
        <v>0</v>
      </c>
      <c r="AI569" s="116">
        <f t="shared" si="100"/>
        <v>0</v>
      </c>
      <c r="AJ569" s="116">
        <f>SUBTOTAL(9,AJ550:AJ568)</f>
        <v>8679.71872</v>
      </c>
      <c r="AK569" s="116">
        <f t="shared" si="100"/>
        <v>698.7471999999999</v>
      </c>
      <c r="AL569" s="116">
        <f t="shared" si="100"/>
        <v>0</v>
      </c>
      <c r="AM569" s="116">
        <f t="shared" si="100"/>
        <v>0</v>
      </c>
      <c r="AN569" s="116">
        <f t="shared" si="100"/>
        <v>2292.4636</v>
      </c>
      <c r="AO569" s="116">
        <f t="shared" si="100"/>
        <v>7197.454299999999</v>
      </c>
      <c r="AP569" s="116">
        <f t="shared" si="100"/>
        <v>1726.4</v>
      </c>
      <c r="AQ569" s="116">
        <f t="shared" si="100"/>
        <v>0</v>
      </c>
      <c r="AR569" s="116">
        <f t="shared" si="100"/>
        <v>0</v>
      </c>
      <c r="AS569" s="116">
        <f t="shared" si="100"/>
        <v>0</v>
      </c>
      <c r="AT569" s="116">
        <f t="shared" si="100"/>
        <v>0</v>
      </c>
      <c r="AU569" s="116">
        <f t="shared" si="100"/>
        <v>0</v>
      </c>
      <c r="AV569" s="116">
        <f t="shared" si="100"/>
        <v>0</v>
      </c>
      <c r="AW569" s="116">
        <f aca="true" t="shared" si="101" ref="AW569:BU569">SUBTOTAL(9,AW550:AW568)</f>
        <v>0</v>
      </c>
      <c r="AX569" s="116">
        <f t="shared" si="101"/>
        <v>19474.92236</v>
      </c>
      <c r="AY569" s="116">
        <f t="shared" si="101"/>
        <v>11741.10237</v>
      </c>
      <c r="AZ569" s="116">
        <f t="shared" si="101"/>
        <v>0</v>
      </c>
      <c r="BA569" s="116">
        <f t="shared" si="101"/>
        <v>27869.88676</v>
      </c>
      <c r="BB569" s="116">
        <f t="shared" si="101"/>
        <v>0</v>
      </c>
      <c r="BC569" s="116">
        <f t="shared" si="101"/>
        <v>16648.43316</v>
      </c>
      <c r="BD569" s="116">
        <f t="shared" si="101"/>
        <v>16326.448980000001</v>
      </c>
      <c r="BE569" s="116">
        <f t="shared" si="101"/>
        <v>247.4478</v>
      </c>
      <c r="BF569" s="116">
        <f t="shared" si="101"/>
        <v>0</v>
      </c>
      <c r="BG569" s="116">
        <f t="shared" si="101"/>
        <v>0</v>
      </c>
      <c r="BH569" s="116">
        <f t="shared" si="101"/>
        <v>0</v>
      </c>
      <c r="BI569" s="116">
        <f t="shared" si="101"/>
        <v>0</v>
      </c>
      <c r="BJ569" s="116">
        <f t="shared" si="101"/>
        <v>21034.44793</v>
      </c>
      <c r="BK569" s="116"/>
      <c r="BL569" s="116">
        <f t="shared" si="101"/>
        <v>0</v>
      </c>
      <c r="BM569" s="116">
        <f t="shared" si="101"/>
        <v>1662.04254</v>
      </c>
      <c r="BN569" s="116">
        <f t="shared" si="101"/>
        <v>8712.5593</v>
      </c>
      <c r="BO569" s="116">
        <f t="shared" si="101"/>
        <v>0</v>
      </c>
      <c r="BP569" s="116">
        <f t="shared" si="101"/>
        <v>0</v>
      </c>
      <c r="BQ569" s="116">
        <f t="shared" si="101"/>
        <v>0</v>
      </c>
      <c r="BR569" s="116">
        <f t="shared" si="101"/>
        <v>1449.9</v>
      </c>
      <c r="BS569" s="116">
        <f t="shared" si="101"/>
        <v>0</v>
      </c>
      <c r="BT569" s="116">
        <f t="shared" si="101"/>
        <v>0</v>
      </c>
      <c r="BU569" s="116">
        <f t="shared" si="101"/>
        <v>0</v>
      </c>
    </row>
    <row r="570" spans="1:73" ht="25.5" customHeight="1" outlineLevel="2">
      <c r="A570" s="35" t="s">
        <v>635</v>
      </c>
      <c r="B570" s="19" t="s">
        <v>559</v>
      </c>
      <c r="C570" s="20" t="s">
        <v>1496</v>
      </c>
      <c r="D570" s="239">
        <v>2424006948</v>
      </c>
      <c r="E570" s="203" t="s">
        <v>2375</v>
      </c>
      <c r="F570" s="108">
        <f aca="true" t="shared" si="102" ref="F570:F632">G570+H570</f>
        <v>1057.37787</v>
      </c>
      <c r="G570" s="106">
        <f>I570+K570+O570+S570+U570+W570+Y570+AA570+AC570+AE570+AR570+AX570+BC570+BG570+BP570+BR570+BT570+AO570</f>
        <v>576.90316</v>
      </c>
      <c r="H570" s="106">
        <f>J570+L570+M570+N570+P570+Q570+R570+T570+V570+X570+Z570+AB570+AD570+AF570+AG570+AJ570+AL570+AS570+AT570+AU570+AV570+AW570+AY570+AZ570+BA570+BB570+BD570+BE570+BF570+BH570+BI570+BJ570+BL570+BM570+BN570+BO570+BQ570+BS570+BU570+AH570+AI570+AK570+AM570+AN570+AP570+AQ570+BK570</f>
        <v>480.47471</v>
      </c>
      <c r="I570" s="107"/>
      <c r="J570" s="107"/>
      <c r="K570" s="107"/>
      <c r="L570" s="107"/>
      <c r="M570" s="107"/>
      <c r="N570" s="107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7"/>
      <c r="Z570" s="107"/>
      <c r="AA570" s="159">
        <v>244.56485</v>
      </c>
      <c r="AB570" s="106">
        <v>154.49701</v>
      </c>
      <c r="AC570" s="107"/>
      <c r="AD570" s="107"/>
      <c r="AE570" s="107"/>
      <c r="AF570" s="107"/>
      <c r="AG570" s="107"/>
      <c r="AH570" s="107"/>
      <c r="AI570" s="107"/>
      <c r="AJ570" s="108">
        <v>0</v>
      </c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7"/>
      <c r="AV570" s="107"/>
      <c r="AW570" s="107"/>
      <c r="AX570" s="107"/>
      <c r="AY570" s="107"/>
      <c r="AZ570" s="107"/>
      <c r="BA570" s="107"/>
      <c r="BB570" s="107"/>
      <c r="BC570" s="107">
        <v>332.33831</v>
      </c>
      <c r="BD570" s="107">
        <v>325.9777</v>
      </c>
      <c r="BE570" s="107"/>
      <c r="BF570" s="107"/>
      <c r="BG570" s="107"/>
      <c r="BH570" s="107"/>
      <c r="BI570" s="107"/>
      <c r="BJ570" s="107"/>
      <c r="BK570" s="107"/>
      <c r="BL570" s="107"/>
      <c r="BM570" s="107"/>
      <c r="BN570" s="107"/>
      <c r="BO570" s="107"/>
      <c r="BP570" s="107"/>
      <c r="BQ570" s="109"/>
      <c r="BR570" s="109"/>
      <c r="BS570" s="109"/>
      <c r="BT570" s="109"/>
      <c r="BU570" s="138"/>
    </row>
    <row r="571" spans="1:73" ht="25.5" customHeight="1" outlineLevel="2">
      <c r="A571" s="35" t="s">
        <v>635</v>
      </c>
      <c r="B571" s="19" t="s">
        <v>1520</v>
      </c>
      <c r="C571" s="20" t="s">
        <v>1496</v>
      </c>
      <c r="D571" s="239">
        <v>2424006803</v>
      </c>
      <c r="E571" s="203" t="s">
        <v>2376</v>
      </c>
      <c r="F571" s="108">
        <f t="shared" si="102"/>
        <v>198.9</v>
      </c>
      <c r="G571" s="106">
        <f aca="true" t="shared" si="103" ref="G571:G591">I571+K571+O571+S571+U571+W571+Y571+AA571+AC571+AE571+AR571+AX571+BC571+BG571+BP571+BR571+BT571+AO571</f>
        <v>0</v>
      </c>
      <c r="H571" s="106">
        <f aca="true" t="shared" si="104" ref="H571:H591">J571+L571+M571+N571+P571+Q571+R571+T571+V571+X571+Z571+AB571+AD571+AF571+AG571+AJ571+AL571+AS571+AT571+AU571+AV571+AW571+AY571+AZ571+BA571+BB571+BD571+BE571+BF571+BH571+BI571+BJ571+BL571+BM571+BN571+BO571+BQ571+BS571+BU571+AH571+AI571+AK571+AM571+AN571+AP571+AQ571+BK571</f>
        <v>198.9</v>
      </c>
      <c r="I571" s="107"/>
      <c r="J571" s="107"/>
      <c r="K571" s="107"/>
      <c r="L571" s="107"/>
      <c r="M571" s="107"/>
      <c r="N571" s="107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7"/>
      <c r="Z571" s="107"/>
      <c r="AA571" s="159"/>
      <c r="AB571" s="106"/>
      <c r="AC571" s="107"/>
      <c r="AD571" s="107"/>
      <c r="AE571" s="107"/>
      <c r="AF571" s="107"/>
      <c r="AG571" s="107"/>
      <c r="AH571" s="107"/>
      <c r="AI571" s="107"/>
      <c r="AJ571" s="108">
        <v>0</v>
      </c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7"/>
      <c r="AV571" s="107"/>
      <c r="AW571" s="107"/>
      <c r="AX571" s="107"/>
      <c r="AY571" s="107"/>
      <c r="AZ571" s="107">
        <v>198.9</v>
      </c>
      <c r="BA571" s="107"/>
      <c r="BB571" s="107"/>
      <c r="BC571" s="107"/>
      <c r="BD571" s="107"/>
      <c r="BE571" s="107"/>
      <c r="BF571" s="107"/>
      <c r="BG571" s="107"/>
      <c r="BH571" s="107"/>
      <c r="BI571" s="107"/>
      <c r="BJ571" s="107"/>
      <c r="BK571" s="107"/>
      <c r="BL571" s="107"/>
      <c r="BM571" s="107"/>
      <c r="BN571" s="107"/>
      <c r="BO571" s="107"/>
      <c r="BP571" s="107"/>
      <c r="BQ571" s="109"/>
      <c r="BR571" s="109"/>
      <c r="BS571" s="109"/>
      <c r="BT571" s="109"/>
      <c r="BU571" s="138"/>
    </row>
    <row r="572" spans="1:73" ht="38.25" customHeight="1" outlineLevel="2">
      <c r="A572" s="35" t="s">
        <v>635</v>
      </c>
      <c r="B572" s="19" t="s">
        <v>758</v>
      </c>
      <c r="C572" s="20" t="s">
        <v>1496</v>
      </c>
      <c r="D572" s="218" t="s">
        <v>759</v>
      </c>
      <c r="E572" s="203" t="s">
        <v>2369</v>
      </c>
      <c r="F572" s="108">
        <f t="shared" si="102"/>
        <v>6449.02628</v>
      </c>
      <c r="G572" s="106">
        <f t="shared" si="103"/>
        <v>3302.7225000000003</v>
      </c>
      <c r="H572" s="106">
        <f t="shared" si="104"/>
        <v>3146.30378</v>
      </c>
      <c r="I572" s="107"/>
      <c r="J572" s="107"/>
      <c r="K572" s="107">
        <v>767.51357</v>
      </c>
      <c r="L572" s="107">
        <v>136.59192</v>
      </c>
      <c r="M572" s="107"/>
      <c r="N572" s="107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7"/>
      <c r="Z572" s="107"/>
      <c r="AA572" s="159">
        <v>147.48507</v>
      </c>
      <c r="AB572" s="106">
        <v>79.22924</v>
      </c>
      <c r="AC572" s="107"/>
      <c r="AD572" s="107"/>
      <c r="AE572" s="107"/>
      <c r="AF572" s="107"/>
      <c r="AG572" s="107">
        <v>51.1806</v>
      </c>
      <c r="AH572" s="107"/>
      <c r="AI572" s="107"/>
      <c r="AJ572" s="108">
        <v>85.1018</v>
      </c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7"/>
      <c r="AV572" s="107"/>
      <c r="AW572" s="107"/>
      <c r="AX572" s="107">
        <v>1560.20059</v>
      </c>
      <c r="AY572" s="107">
        <v>1149.53123</v>
      </c>
      <c r="AZ572" s="107"/>
      <c r="BA572" s="107"/>
      <c r="BB572" s="107"/>
      <c r="BC572" s="107">
        <v>827.52327</v>
      </c>
      <c r="BD572" s="107">
        <v>811.52698</v>
      </c>
      <c r="BE572" s="107"/>
      <c r="BF572" s="107"/>
      <c r="BG572" s="107"/>
      <c r="BH572" s="107"/>
      <c r="BI572" s="107"/>
      <c r="BJ572" s="107">
        <v>96.82951</v>
      </c>
      <c r="BK572" s="107"/>
      <c r="BL572" s="107"/>
      <c r="BM572" s="107">
        <v>736.3125</v>
      </c>
      <c r="BN572" s="107"/>
      <c r="BO572" s="107"/>
      <c r="BP572" s="107"/>
      <c r="BQ572" s="109"/>
      <c r="BR572" s="109"/>
      <c r="BS572" s="109"/>
      <c r="BT572" s="109"/>
      <c r="BU572" s="138"/>
    </row>
    <row r="573" spans="1:73" ht="25.5" customHeight="1" outlineLevel="2">
      <c r="A573" s="35" t="s">
        <v>635</v>
      </c>
      <c r="B573" s="19" t="s">
        <v>457</v>
      </c>
      <c r="C573" s="20" t="s">
        <v>1496</v>
      </c>
      <c r="D573" s="218" t="s">
        <v>458</v>
      </c>
      <c r="E573" s="203" t="s">
        <v>2372</v>
      </c>
      <c r="F573" s="108">
        <f t="shared" si="102"/>
        <v>58.3412</v>
      </c>
      <c r="G573" s="106">
        <f t="shared" si="103"/>
        <v>0</v>
      </c>
      <c r="H573" s="106">
        <f t="shared" si="104"/>
        <v>58.3412</v>
      </c>
      <c r="I573" s="107"/>
      <c r="J573" s="107"/>
      <c r="K573" s="107"/>
      <c r="L573" s="107"/>
      <c r="M573" s="107"/>
      <c r="N573" s="107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7"/>
      <c r="Z573" s="107"/>
      <c r="AA573" s="106"/>
      <c r="AB573" s="106"/>
      <c r="AC573" s="107"/>
      <c r="AD573" s="107"/>
      <c r="AE573" s="107"/>
      <c r="AF573" s="107"/>
      <c r="AG573" s="107"/>
      <c r="AH573" s="107"/>
      <c r="AI573" s="107"/>
      <c r="AJ573" s="108">
        <v>0</v>
      </c>
      <c r="AK573" s="107"/>
      <c r="AL573" s="107"/>
      <c r="AM573" s="107"/>
      <c r="AN573" s="107">
        <v>58.3412</v>
      </c>
      <c r="AO573" s="107"/>
      <c r="AP573" s="107"/>
      <c r="AQ573" s="107"/>
      <c r="AR573" s="107"/>
      <c r="AS573" s="107"/>
      <c r="AT573" s="107"/>
      <c r="AU573" s="107"/>
      <c r="AV573" s="107"/>
      <c r="AW573" s="107"/>
      <c r="AX573" s="107"/>
      <c r="AY573" s="106"/>
      <c r="AZ573" s="107"/>
      <c r="BA573" s="107"/>
      <c r="BB573" s="107"/>
      <c r="BC573" s="107"/>
      <c r="BD573" s="107"/>
      <c r="BE573" s="107"/>
      <c r="BF573" s="107"/>
      <c r="BG573" s="107"/>
      <c r="BH573" s="107"/>
      <c r="BI573" s="107"/>
      <c r="BJ573" s="107"/>
      <c r="BK573" s="107"/>
      <c r="BL573" s="107"/>
      <c r="BM573" s="107"/>
      <c r="BN573" s="107"/>
      <c r="BO573" s="107"/>
      <c r="BP573" s="107"/>
      <c r="BQ573" s="109"/>
      <c r="BR573" s="109"/>
      <c r="BS573" s="109"/>
      <c r="BT573" s="109"/>
      <c r="BU573" s="138"/>
    </row>
    <row r="574" spans="1:73" ht="33" customHeight="1" outlineLevel="2">
      <c r="A574" s="35" t="s">
        <v>635</v>
      </c>
      <c r="B574" s="19" t="s">
        <v>108</v>
      </c>
      <c r="C574" s="20" t="s">
        <v>1496</v>
      </c>
      <c r="D574" s="218" t="s">
        <v>109</v>
      </c>
      <c r="E574" s="203" t="s">
        <v>2373</v>
      </c>
      <c r="F574" s="108">
        <f t="shared" si="102"/>
        <v>546.18114</v>
      </c>
      <c r="G574" s="106">
        <f t="shared" si="103"/>
        <v>208.00392</v>
      </c>
      <c r="H574" s="106">
        <f t="shared" si="104"/>
        <v>338.17722000000003</v>
      </c>
      <c r="I574" s="107"/>
      <c r="J574" s="107"/>
      <c r="K574" s="107"/>
      <c r="L574" s="107"/>
      <c r="M574" s="107"/>
      <c r="N574" s="107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7"/>
      <c r="Z574" s="107"/>
      <c r="AA574" s="159">
        <v>124.30658</v>
      </c>
      <c r="AB574" s="106">
        <v>79.22924</v>
      </c>
      <c r="AC574" s="107"/>
      <c r="AD574" s="107"/>
      <c r="AE574" s="107"/>
      <c r="AF574" s="107"/>
      <c r="AG574" s="107"/>
      <c r="AH574" s="107"/>
      <c r="AI574" s="107"/>
      <c r="AJ574" s="108">
        <v>13.443</v>
      </c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7"/>
      <c r="AV574" s="107"/>
      <c r="AW574" s="107"/>
      <c r="AX574" s="107"/>
      <c r="AY574" s="106"/>
      <c r="AZ574" s="107"/>
      <c r="BA574" s="107"/>
      <c r="BB574" s="107"/>
      <c r="BC574" s="107">
        <v>83.69734</v>
      </c>
      <c r="BD574" s="107">
        <v>82.07964</v>
      </c>
      <c r="BE574" s="107"/>
      <c r="BF574" s="107"/>
      <c r="BG574" s="107"/>
      <c r="BH574" s="107"/>
      <c r="BI574" s="107"/>
      <c r="BJ574" s="107">
        <v>163.42534</v>
      </c>
      <c r="BK574" s="107"/>
      <c r="BL574" s="107"/>
      <c r="BM574" s="107"/>
      <c r="BN574" s="107"/>
      <c r="BO574" s="107"/>
      <c r="BP574" s="107"/>
      <c r="BQ574" s="109"/>
      <c r="BR574" s="109"/>
      <c r="BS574" s="109"/>
      <c r="BT574" s="109"/>
      <c r="BU574" s="138"/>
    </row>
    <row r="575" spans="1:73" ht="32.25" customHeight="1" outlineLevel="2">
      <c r="A575" s="35" t="s">
        <v>635</v>
      </c>
      <c r="B575" s="19" t="s">
        <v>110</v>
      </c>
      <c r="C575" s="20" t="s">
        <v>1496</v>
      </c>
      <c r="D575" s="218" t="s">
        <v>111</v>
      </c>
      <c r="E575" s="203" t="s">
        <v>2370</v>
      </c>
      <c r="F575" s="108">
        <f t="shared" si="102"/>
        <v>416.36025000000006</v>
      </c>
      <c r="G575" s="106">
        <f t="shared" si="103"/>
        <v>74.66187</v>
      </c>
      <c r="H575" s="106">
        <f t="shared" si="104"/>
        <v>341.69838000000004</v>
      </c>
      <c r="I575" s="107"/>
      <c r="J575" s="107"/>
      <c r="K575" s="107"/>
      <c r="L575" s="107"/>
      <c r="M575" s="107"/>
      <c r="N575" s="107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7"/>
      <c r="Z575" s="107"/>
      <c r="AA575" s="159">
        <v>24.28979</v>
      </c>
      <c r="AB575" s="106">
        <v>15.84585</v>
      </c>
      <c r="AC575" s="107"/>
      <c r="AD575" s="107"/>
      <c r="AE575" s="107"/>
      <c r="AF575" s="107"/>
      <c r="AG575" s="107"/>
      <c r="AH575" s="107"/>
      <c r="AI575" s="107"/>
      <c r="AJ575" s="108">
        <v>6.45264</v>
      </c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7"/>
      <c r="AV575" s="107"/>
      <c r="AW575" s="107"/>
      <c r="AX575" s="107"/>
      <c r="AY575" s="106"/>
      <c r="AZ575" s="107">
        <v>270</v>
      </c>
      <c r="BA575" s="107"/>
      <c r="BB575" s="107"/>
      <c r="BC575" s="107">
        <v>50.37208</v>
      </c>
      <c r="BD575" s="107">
        <v>49.39989</v>
      </c>
      <c r="BE575" s="107"/>
      <c r="BF575" s="107"/>
      <c r="BG575" s="107"/>
      <c r="BH575" s="107"/>
      <c r="BI575" s="107"/>
      <c r="BJ575" s="107"/>
      <c r="BK575" s="107"/>
      <c r="BL575" s="107"/>
      <c r="BM575" s="107"/>
      <c r="BN575" s="107"/>
      <c r="BO575" s="107"/>
      <c r="BP575" s="107"/>
      <c r="BQ575" s="109"/>
      <c r="BR575" s="109"/>
      <c r="BS575" s="109"/>
      <c r="BT575" s="109"/>
      <c r="BU575" s="138"/>
    </row>
    <row r="576" spans="1:73" ht="39.75" customHeight="1" outlineLevel="2">
      <c r="A576" s="35" t="s">
        <v>635</v>
      </c>
      <c r="B576" s="19" t="s">
        <v>1503</v>
      </c>
      <c r="C576" s="20" t="s">
        <v>1496</v>
      </c>
      <c r="D576" s="218" t="s">
        <v>1504</v>
      </c>
      <c r="E576" s="203" t="s">
        <v>2371</v>
      </c>
      <c r="F576" s="108">
        <f t="shared" si="102"/>
        <v>50.74313</v>
      </c>
      <c r="G576" s="106">
        <f t="shared" si="103"/>
        <v>25.61916</v>
      </c>
      <c r="H576" s="106">
        <f t="shared" si="104"/>
        <v>25.12397</v>
      </c>
      <c r="I576" s="107"/>
      <c r="J576" s="107"/>
      <c r="K576" s="107"/>
      <c r="L576" s="107"/>
      <c r="M576" s="107"/>
      <c r="N576" s="107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7"/>
      <c r="Z576" s="107"/>
      <c r="AA576" s="106"/>
      <c r="AB576" s="106"/>
      <c r="AC576" s="107"/>
      <c r="AD576" s="107"/>
      <c r="AE576" s="107"/>
      <c r="AF576" s="107"/>
      <c r="AG576" s="107"/>
      <c r="AH576" s="107"/>
      <c r="AI576" s="107"/>
      <c r="AJ576" s="108">
        <v>0</v>
      </c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7"/>
      <c r="AV576" s="107"/>
      <c r="AW576" s="107"/>
      <c r="AX576" s="107"/>
      <c r="AY576" s="106"/>
      <c r="AZ576" s="107"/>
      <c r="BA576" s="107"/>
      <c r="BB576" s="107"/>
      <c r="BC576" s="107">
        <v>25.61916</v>
      </c>
      <c r="BD576" s="107">
        <v>25.12397</v>
      </c>
      <c r="BE576" s="107"/>
      <c r="BF576" s="107"/>
      <c r="BG576" s="107"/>
      <c r="BH576" s="107"/>
      <c r="BI576" s="107"/>
      <c r="BJ576" s="107"/>
      <c r="BK576" s="107"/>
      <c r="BL576" s="107"/>
      <c r="BM576" s="107"/>
      <c r="BN576" s="107"/>
      <c r="BO576" s="107"/>
      <c r="BP576" s="107"/>
      <c r="BQ576" s="109"/>
      <c r="BR576" s="109"/>
      <c r="BS576" s="109"/>
      <c r="BT576" s="109"/>
      <c r="BU576" s="138"/>
    </row>
    <row r="577" spans="1:73" ht="40.5" customHeight="1" outlineLevel="2">
      <c r="A577" s="35" t="s">
        <v>635</v>
      </c>
      <c r="B577" s="19" t="s">
        <v>607</v>
      </c>
      <c r="C577" s="20" t="s">
        <v>1496</v>
      </c>
      <c r="D577" s="239">
        <v>2424006634</v>
      </c>
      <c r="E577" s="203" t="s">
        <v>2374</v>
      </c>
      <c r="F577" s="108">
        <f t="shared" si="102"/>
        <v>702.66776</v>
      </c>
      <c r="G577" s="106">
        <f t="shared" si="103"/>
        <v>212.92649</v>
      </c>
      <c r="H577" s="106">
        <f t="shared" si="104"/>
        <v>489.74127</v>
      </c>
      <c r="I577" s="107"/>
      <c r="J577" s="107"/>
      <c r="K577" s="107">
        <v>154.84175</v>
      </c>
      <c r="L577" s="107">
        <v>31.17934</v>
      </c>
      <c r="M577" s="107"/>
      <c r="N577" s="107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7"/>
      <c r="Z577" s="107"/>
      <c r="AA577" s="106">
        <v>10.07113</v>
      </c>
      <c r="AB577" s="106">
        <v>6.93256</v>
      </c>
      <c r="AC577" s="107"/>
      <c r="AD577" s="107"/>
      <c r="AE577" s="107"/>
      <c r="AF577" s="107"/>
      <c r="AG577" s="107"/>
      <c r="AH577" s="107"/>
      <c r="AI577" s="107"/>
      <c r="AJ577" s="108">
        <v>0</v>
      </c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7"/>
      <c r="AV577" s="107"/>
      <c r="AW577" s="107"/>
      <c r="AX577" s="107"/>
      <c r="AY577" s="106"/>
      <c r="AZ577" s="107">
        <v>404.55</v>
      </c>
      <c r="BA577" s="107"/>
      <c r="BB577" s="107"/>
      <c r="BC577" s="107">
        <v>48.01361</v>
      </c>
      <c r="BD577" s="107">
        <v>47.07937</v>
      </c>
      <c r="BE577" s="107"/>
      <c r="BF577" s="107"/>
      <c r="BG577" s="107"/>
      <c r="BH577" s="107"/>
      <c r="BI577" s="107"/>
      <c r="BJ577" s="107"/>
      <c r="BK577" s="107"/>
      <c r="BL577" s="107"/>
      <c r="BM577" s="107"/>
      <c r="BN577" s="107"/>
      <c r="BO577" s="107"/>
      <c r="BP577" s="107"/>
      <c r="BQ577" s="109"/>
      <c r="BR577" s="109"/>
      <c r="BS577" s="109"/>
      <c r="BT577" s="109"/>
      <c r="BU577" s="138"/>
    </row>
    <row r="578" spans="1:73" ht="39.75" customHeight="1" outlineLevel="2">
      <c r="A578" s="35" t="s">
        <v>635</v>
      </c>
      <c r="B578" s="19" t="s">
        <v>1539</v>
      </c>
      <c r="C578" s="20" t="s">
        <v>587</v>
      </c>
      <c r="D578" s="239">
        <v>242400676581</v>
      </c>
      <c r="E578" s="242" t="s">
        <v>2377</v>
      </c>
      <c r="F578" s="108">
        <f t="shared" si="102"/>
        <v>51.306889999999996</v>
      </c>
      <c r="G578" s="106">
        <f t="shared" si="103"/>
        <v>25.9044</v>
      </c>
      <c r="H578" s="106">
        <f t="shared" si="104"/>
        <v>25.40249</v>
      </c>
      <c r="I578" s="107"/>
      <c r="J578" s="107"/>
      <c r="K578" s="107"/>
      <c r="L578" s="107"/>
      <c r="M578" s="107"/>
      <c r="N578" s="107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7"/>
      <c r="Z578" s="107"/>
      <c r="AA578" s="159"/>
      <c r="AB578" s="106"/>
      <c r="AC578" s="107"/>
      <c r="AD578" s="107"/>
      <c r="AE578" s="107"/>
      <c r="AF578" s="107"/>
      <c r="AG578" s="107"/>
      <c r="AH578" s="107"/>
      <c r="AI578" s="107"/>
      <c r="AJ578" s="108">
        <v>0</v>
      </c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7"/>
      <c r="AV578" s="107"/>
      <c r="AW578" s="107"/>
      <c r="AX578" s="107"/>
      <c r="AY578" s="106"/>
      <c r="AZ578" s="107"/>
      <c r="BA578" s="107"/>
      <c r="BB578" s="107"/>
      <c r="BC578" s="107">
        <v>25.9044</v>
      </c>
      <c r="BD578" s="107">
        <v>25.40249</v>
      </c>
      <c r="BE578" s="107"/>
      <c r="BF578" s="107"/>
      <c r="BG578" s="107"/>
      <c r="BH578" s="107"/>
      <c r="BI578" s="107"/>
      <c r="BJ578" s="107"/>
      <c r="BK578" s="107"/>
      <c r="BL578" s="107"/>
      <c r="BM578" s="107"/>
      <c r="BN578" s="107"/>
      <c r="BO578" s="107"/>
      <c r="BP578" s="107"/>
      <c r="BQ578" s="109"/>
      <c r="BR578" s="109"/>
      <c r="BS578" s="109"/>
      <c r="BT578" s="109"/>
      <c r="BU578" s="138"/>
    </row>
    <row r="579" spans="1:73" ht="39.75" customHeight="1" outlineLevel="2">
      <c r="A579" s="35" t="s">
        <v>635</v>
      </c>
      <c r="B579" s="19" t="s">
        <v>1252</v>
      </c>
      <c r="C579" s="20" t="s">
        <v>587</v>
      </c>
      <c r="D579" s="239">
        <v>242401153190</v>
      </c>
      <c r="E579" s="242" t="s">
        <v>2378</v>
      </c>
      <c r="F579" s="108">
        <f t="shared" si="102"/>
        <v>55.701859999999996</v>
      </c>
      <c r="G579" s="106">
        <f t="shared" si="103"/>
        <v>31.31946</v>
      </c>
      <c r="H579" s="106">
        <f t="shared" si="104"/>
        <v>24.3824</v>
      </c>
      <c r="I579" s="107"/>
      <c r="J579" s="107"/>
      <c r="K579" s="107"/>
      <c r="L579" s="107"/>
      <c r="M579" s="107"/>
      <c r="N579" s="107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7"/>
      <c r="Z579" s="107"/>
      <c r="AA579" s="106">
        <v>18.57455</v>
      </c>
      <c r="AB579" s="106">
        <v>11.88439</v>
      </c>
      <c r="AC579" s="107"/>
      <c r="AD579" s="107"/>
      <c r="AE579" s="107"/>
      <c r="AF579" s="107"/>
      <c r="AG579" s="107"/>
      <c r="AH579" s="107"/>
      <c r="AI579" s="107"/>
      <c r="AJ579" s="108">
        <v>0</v>
      </c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7"/>
      <c r="AV579" s="107"/>
      <c r="AW579" s="107"/>
      <c r="AX579" s="107"/>
      <c r="AY579" s="106"/>
      <c r="AZ579" s="107"/>
      <c r="BA579" s="107"/>
      <c r="BB579" s="107"/>
      <c r="BC579" s="107">
        <v>12.74491</v>
      </c>
      <c r="BD579" s="107">
        <v>12.49801</v>
      </c>
      <c r="BE579" s="107"/>
      <c r="BF579" s="107"/>
      <c r="BG579" s="107"/>
      <c r="BH579" s="107"/>
      <c r="BI579" s="107"/>
      <c r="BJ579" s="107"/>
      <c r="BK579" s="107"/>
      <c r="BL579" s="107"/>
      <c r="BM579" s="107"/>
      <c r="BN579" s="107"/>
      <c r="BO579" s="107"/>
      <c r="BP579" s="107"/>
      <c r="BQ579" s="109"/>
      <c r="BR579" s="109"/>
      <c r="BS579" s="109"/>
      <c r="BT579" s="109"/>
      <c r="BU579" s="138"/>
    </row>
    <row r="580" spans="1:73" ht="39.75" customHeight="1" outlineLevel="2">
      <c r="A580" s="35" t="s">
        <v>635</v>
      </c>
      <c r="B580" s="19" t="s">
        <v>1625</v>
      </c>
      <c r="C580" s="20" t="s">
        <v>587</v>
      </c>
      <c r="D580" s="239">
        <v>246001306829</v>
      </c>
      <c r="E580" s="242" t="s">
        <v>2379</v>
      </c>
      <c r="F580" s="108">
        <f t="shared" si="102"/>
        <v>334.45735</v>
      </c>
      <c r="G580" s="106">
        <f t="shared" si="103"/>
        <v>44.48256000000001</v>
      </c>
      <c r="H580" s="106">
        <f t="shared" si="104"/>
        <v>289.97479</v>
      </c>
      <c r="I580" s="107"/>
      <c r="J580" s="107"/>
      <c r="K580" s="107"/>
      <c r="L580" s="107"/>
      <c r="M580" s="107"/>
      <c r="N580" s="107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7"/>
      <c r="Z580" s="107">
        <v>248.88</v>
      </c>
      <c r="AA580" s="106">
        <v>8.6324</v>
      </c>
      <c r="AB580" s="106">
        <v>5.94219</v>
      </c>
      <c r="AC580" s="107"/>
      <c r="AD580" s="107"/>
      <c r="AE580" s="107"/>
      <c r="AF580" s="107"/>
      <c r="AG580" s="107"/>
      <c r="AH580" s="107"/>
      <c r="AI580" s="107"/>
      <c r="AJ580" s="108">
        <v>0</v>
      </c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7"/>
      <c r="AV580" s="107"/>
      <c r="AW580" s="107"/>
      <c r="AX580" s="107"/>
      <c r="AY580" s="106"/>
      <c r="AZ580" s="107"/>
      <c r="BA580" s="107"/>
      <c r="BB580" s="107"/>
      <c r="BC580" s="107">
        <v>35.85016</v>
      </c>
      <c r="BD580" s="107">
        <v>35.1526</v>
      </c>
      <c r="BE580" s="107"/>
      <c r="BF580" s="107"/>
      <c r="BG580" s="107"/>
      <c r="BH580" s="107"/>
      <c r="BI580" s="107"/>
      <c r="BJ580" s="107"/>
      <c r="BK580" s="107"/>
      <c r="BL580" s="107"/>
      <c r="BM580" s="107"/>
      <c r="BN580" s="107"/>
      <c r="BO580" s="107"/>
      <c r="BP580" s="107"/>
      <c r="BQ580" s="109"/>
      <c r="BR580" s="109"/>
      <c r="BS580" s="109"/>
      <c r="BT580" s="109"/>
      <c r="BU580" s="138"/>
    </row>
    <row r="581" spans="1:73" ht="39.75" customHeight="1" outlineLevel="2">
      <c r="A581" s="35" t="s">
        <v>635</v>
      </c>
      <c r="B581" s="19" t="s">
        <v>1755</v>
      </c>
      <c r="C581" s="20" t="s">
        <v>587</v>
      </c>
      <c r="D581" s="239">
        <v>242401350582</v>
      </c>
      <c r="E581" s="242" t="s">
        <v>2380</v>
      </c>
      <c r="F581" s="108">
        <f t="shared" si="102"/>
        <v>10.62925</v>
      </c>
      <c r="G581" s="106">
        <f t="shared" si="103"/>
        <v>6.66779</v>
      </c>
      <c r="H581" s="106">
        <f t="shared" si="104"/>
        <v>3.96146</v>
      </c>
      <c r="I581" s="107"/>
      <c r="J581" s="107"/>
      <c r="K581" s="107"/>
      <c r="L581" s="107"/>
      <c r="M581" s="107"/>
      <c r="N581" s="107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7"/>
      <c r="Z581" s="107"/>
      <c r="AA581" s="106">
        <v>6.66779</v>
      </c>
      <c r="AB581" s="106">
        <v>3.96146</v>
      </c>
      <c r="AC581" s="107"/>
      <c r="AD581" s="107"/>
      <c r="AE581" s="107"/>
      <c r="AF581" s="107"/>
      <c r="AG581" s="107"/>
      <c r="AH581" s="107"/>
      <c r="AI581" s="107"/>
      <c r="AJ581" s="108">
        <v>0</v>
      </c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7"/>
      <c r="AV581" s="107"/>
      <c r="AW581" s="107"/>
      <c r="AX581" s="107"/>
      <c r="AY581" s="106"/>
      <c r="AZ581" s="107"/>
      <c r="BA581" s="107"/>
      <c r="BB581" s="107"/>
      <c r="BC581" s="107"/>
      <c r="BD581" s="107"/>
      <c r="BE581" s="107"/>
      <c r="BF581" s="107"/>
      <c r="BG581" s="107"/>
      <c r="BH581" s="107"/>
      <c r="BI581" s="107"/>
      <c r="BJ581" s="107"/>
      <c r="BK581" s="107"/>
      <c r="BL581" s="107"/>
      <c r="BM581" s="107"/>
      <c r="BN581" s="107"/>
      <c r="BO581" s="107"/>
      <c r="BP581" s="107"/>
      <c r="BQ581" s="109"/>
      <c r="BR581" s="109"/>
      <c r="BS581" s="109"/>
      <c r="BT581" s="109"/>
      <c r="BU581" s="138"/>
    </row>
    <row r="582" spans="1:73" ht="39.75" customHeight="1" outlineLevel="2">
      <c r="A582" s="19" t="s">
        <v>635</v>
      </c>
      <c r="B582" s="22" t="s">
        <v>689</v>
      </c>
      <c r="C582" s="20" t="s">
        <v>587</v>
      </c>
      <c r="D582" s="239">
        <v>242401591796</v>
      </c>
      <c r="E582" s="242" t="s">
        <v>2381</v>
      </c>
      <c r="F582" s="108">
        <f t="shared" si="102"/>
        <v>56.12996</v>
      </c>
      <c r="G582" s="106">
        <f t="shared" si="103"/>
        <v>0</v>
      </c>
      <c r="H582" s="106">
        <f t="shared" si="104"/>
        <v>56.12996</v>
      </c>
      <c r="I582" s="107"/>
      <c r="J582" s="107"/>
      <c r="K582" s="107"/>
      <c r="L582" s="107"/>
      <c r="M582" s="107"/>
      <c r="N582" s="107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7"/>
      <c r="Z582" s="107"/>
      <c r="AA582" s="106"/>
      <c r="AB582" s="106"/>
      <c r="AC582" s="107"/>
      <c r="AD582" s="107"/>
      <c r="AE582" s="107"/>
      <c r="AF582" s="107"/>
      <c r="AG582" s="107"/>
      <c r="AH582" s="107"/>
      <c r="AI582" s="107"/>
      <c r="AJ582" s="108">
        <v>0</v>
      </c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7"/>
      <c r="AV582" s="107"/>
      <c r="AW582" s="107"/>
      <c r="AX582" s="107"/>
      <c r="AY582" s="106"/>
      <c r="AZ582" s="107"/>
      <c r="BA582" s="107"/>
      <c r="BB582" s="107"/>
      <c r="BC582" s="107"/>
      <c r="BD582" s="107"/>
      <c r="BE582" s="107"/>
      <c r="BF582" s="107"/>
      <c r="BG582" s="107"/>
      <c r="BH582" s="107"/>
      <c r="BI582" s="107"/>
      <c r="BJ582" s="107">
        <v>56.12996</v>
      </c>
      <c r="BK582" s="107"/>
      <c r="BL582" s="107"/>
      <c r="BM582" s="107"/>
      <c r="BN582" s="107"/>
      <c r="BO582" s="107"/>
      <c r="BP582" s="107"/>
      <c r="BQ582" s="109"/>
      <c r="BR582" s="109"/>
      <c r="BS582" s="109"/>
      <c r="BT582" s="109"/>
      <c r="BU582" s="138"/>
    </row>
    <row r="583" spans="1:73" ht="39.75" customHeight="1" outlineLevel="2">
      <c r="A583" s="35" t="s">
        <v>635</v>
      </c>
      <c r="B583" s="19" t="s">
        <v>285</v>
      </c>
      <c r="C583" s="20" t="s">
        <v>587</v>
      </c>
      <c r="D583" s="218" t="s">
        <v>2383</v>
      </c>
      <c r="E583" s="220" t="s">
        <v>2382</v>
      </c>
      <c r="F583" s="108">
        <f t="shared" si="102"/>
        <v>271.32</v>
      </c>
      <c r="G583" s="106">
        <f t="shared" si="103"/>
        <v>0</v>
      </c>
      <c r="H583" s="106">
        <f t="shared" si="104"/>
        <v>271.32</v>
      </c>
      <c r="I583" s="107"/>
      <c r="J583" s="107"/>
      <c r="K583" s="107"/>
      <c r="L583" s="107"/>
      <c r="M583" s="107"/>
      <c r="N583" s="107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7"/>
      <c r="Z583" s="107"/>
      <c r="AA583" s="159"/>
      <c r="AB583" s="106"/>
      <c r="AC583" s="107"/>
      <c r="AD583" s="107"/>
      <c r="AE583" s="107"/>
      <c r="AF583" s="107"/>
      <c r="AG583" s="107"/>
      <c r="AH583" s="107"/>
      <c r="AI583" s="107"/>
      <c r="AJ583" s="108">
        <v>0</v>
      </c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7"/>
      <c r="AV583" s="107"/>
      <c r="AW583" s="107"/>
      <c r="AX583" s="107"/>
      <c r="AY583" s="106"/>
      <c r="AZ583" s="107"/>
      <c r="BA583" s="107"/>
      <c r="BB583" s="107"/>
      <c r="BC583" s="107"/>
      <c r="BD583" s="107"/>
      <c r="BE583" s="107"/>
      <c r="BF583" s="107"/>
      <c r="BG583" s="107"/>
      <c r="BH583" s="107"/>
      <c r="BI583" s="107"/>
      <c r="BJ583" s="107"/>
      <c r="BK583" s="107"/>
      <c r="BL583" s="107"/>
      <c r="BM583" s="107">
        <v>271.32</v>
      </c>
      <c r="BN583" s="107"/>
      <c r="BO583" s="107"/>
      <c r="BP583" s="107"/>
      <c r="BQ583" s="109"/>
      <c r="BR583" s="109"/>
      <c r="BS583" s="109"/>
      <c r="BT583" s="109"/>
      <c r="BU583" s="138"/>
    </row>
    <row r="584" spans="1:73" ht="39.75" customHeight="1" outlineLevel="2">
      <c r="A584" s="35" t="s">
        <v>635</v>
      </c>
      <c r="B584" s="19" t="s">
        <v>1251</v>
      </c>
      <c r="C584" s="20" t="s">
        <v>710</v>
      </c>
      <c r="D584" s="239">
        <v>242400789560</v>
      </c>
      <c r="E584" s="242" t="s">
        <v>2384</v>
      </c>
      <c r="F584" s="108">
        <f t="shared" si="102"/>
        <v>83.37595</v>
      </c>
      <c r="G584" s="106">
        <f t="shared" si="103"/>
        <v>21.13065</v>
      </c>
      <c r="H584" s="106">
        <f t="shared" si="104"/>
        <v>62.2453</v>
      </c>
      <c r="I584" s="107"/>
      <c r="J584" s="107"/>
      <c r="K584" s="107"/>
      <c r="L584" s="107"/>
      <c r="M584" s="107"/>
      <c r="N584" s="107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7"/>
      <c r="Z584" s="107"/>
      <c r="AA584" s="159">
        <v>5.63587</v>
      </c>
      <c r="AB584" s="106">
        <v>3.96146</v>
      </c>
      <c r="AC584" s="107"/>
      <c r="AD584" s="107"/>
      <c r="AE584" s="107"/>
      <c r="AF584" s="107"/>
      <c r="AG584" s="107"/>
      <c r="AH584" s="107"/>
      <c r="AI584" s="107"/>
      <c r="AJ584" s="108">
        <v>0</v>
      </c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7"/>
      <c r="AV584" s="107"/>
      <c r="AW584" s="107"/>
      <c r="AX584" s="107"/>
      <c r="AY584" s="106"/>
      <c r="AZ584" s="107"/>
      <c r="BA584" s="107"/>
      <c r="BB584" s="107"/>
      <c r="BC584" s="107">
        <v>15.49478</v>
      </c>
      <c r="BD584" s="107">
        <v>15.19476</v>
      </c>
      <c r="BE584" s="107"/>
      <c r="BF584" s="107"/>
      <c r="BG584" s="107"/>
      <c r="BH584" s="107"/>
      <c r="BI584" s="107"/>
      <c r="BJ584" s="107">
        <v>43.08908</v>
      </c>
      <c r="BK584" s="107"/>
      <c r="BL584" s="107"/>
      <c r="BM584" s="107"/>
      <c r="BN584" s="107"/>
      <c r="BO584" s="107"/>
      <c r="BP584" s="107"/>
      <c r="BQ584" s="109"/>
      <c r="BR584" s="109"/>
      <c r="BS584" s="109"/>
      <c r="BT584" s="109"/>
      <c r="BU584" s="138"/>
    </row>
    <row r="585" spans="1:73" ht="39.75" customHeight="1" outlineLevel="2">
      <c r="A585" s="35" t="s">
        <v>635</v>
      </c>
      <c r="B585" s="19" t="s">
        <v>1253</v>
      </c>
      <c r="C585" s="20" t="s">
        <v>710</v>
      </c>
      <c r="D585" s="239">
        <v>242400965537</v>
      </c>
      <c r="E585" s="242" t="s">
        <v>2385</v>
      </c>
      <c r="F585" s="108">
        <f t="shared" si="102"/>
        <v>54.342789999999994</v>
      </c>
      <c r="G585" s="106">
        <f t="shared" si="103"/>
        <v>27.43725</v>
      </c>
      <c r="H585" s="106">
        <f t="shared" si="104"/>
        <v>26.90554</v>
      </c>
      <c r="I585" s="107"/>
      <c r="J585" s="107"/>
      <c r="K585" s="107"/>
      <c r="L585" s="107"/>
      <c r="M585" s="107"/>
      <c r="N585" s="107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7"/>
      <c r="Z585" s="107"/>
      <c r="AA585" s="159"/>
      <c r="AB585" s="106"/>
      <c r="AC585" s="107"/>
      <c r="AD585" s="107"/>
      <c r="AE585" s="107"/>
      <c r="AF585" s="107"/>
      <c r="AG585" s="107"/>
      <c r="AH585" s="107"/>
      <c r="AI585" s="107"/>
      <c r="AJ585" s="108">
        <v>0</v>
      </c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7"/>
      <c r="AV585" s="107"/>
      <c r="AW585" s="107"/>
      <c r="AX585" s="107"/>
      <c r="AY585" s="106"/>
      <c r="AZ585" s="107"/>
      <c r="BA585" s="107"/>
      <c r="BB585" s="107"/>
      <c r="BC585" s="107">
        <v>27.43725</v>
      </c>
      <c r="BD585" s="107">
        <v>26.90554</v>
      </c>
      <c r="BE585" s="107"/>
      <c r="BF585" s="107"/>
      <c r="BG585" s="107"/>
      <c r="BH585" s="107"/>
      <c r="BI585" s="107"/>
      <c r="BJ585" s="107"/>
      <c r="BK585" s="107"/>
      <c r="BL585" s="107"/>
      <c r="BM585" s="107"/>
      <c r="BN585" s="107"/>
      <c r="BO585" s="107"/>
      <c r="BP585" s="107"/>
      <c r="BQ585" s="109"/>
      <c r="BR585" s="109"/>
      <c r="BS585" s="109"/>
      <c r="BT585" s="109"/>
      <c r="BU585" s="138"/>
    </row>
    <row r="586" spans="1:73" ht="24.75" customHeight="1" outlineLevel="2">
      <c r="A586" s="35" t="s">
        <v>635</v>
      </c>
      <c r="B586" s="19" t="s">
        <v>1254</v>
      </c>
      <c r="C586" s="20" t="s">
        <v>710</v>
      </c>
      <c r="D586" s="218" t="s">
        <v>1102</v>
      </c>
      <c r="E586" s="220" t="s">
        <v>2386</v>
      </c>
      <c r="F586" s="108">
        <f t="shared" si="102"/>
        <v>42.037980000000005</v>
      </c>
      <c r="G586" s="106">
        <f t="shared" si="103"/>
        <v>21.22407</v>
      </c>
      <c r="H586" s="106">
        <f t="shared" si="104"/>
        <v>20.81391</v>
      </c>
      <c r="I586" s="107"/>
      <c r="J586" s="107"/>
      <c r="K586" s="107"/>
      <c r="L586" s="107"/>
      <c r="M586" s="107"/>
      <c r="N586" s="107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7"/>
      <c r="Z586" s="107"/>
      <c r="AA586" s="159"/>
      <c r="AB586" s="106"/>
      <c r="AC586" s="107"/>
      <c r="AD586" s="107"/>
      <c r="AE586" s="107"/>
      <c r="AF586" s="107"/>
      <c r="AG586" s="107"/>
      <c r="AH586" s="107"/>
      <c r="AI586" s="107"/>
      <c r="AJ586" s="108">
        <v>0</v>
      </c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7"/>
      <c r="AV586" s="107"/>
      <c r="AW586" s="107"/>
      <c r="AX586" s="107"/>
      <c r="AY586" s="106"/>
      <c r="AZ586" s="107"/>
      <c r="BA586" s="107"/>
      <c r="BB586" s="107"/>
      <c r="BC586" s="107">
        <v>21.22407</v>
      </c>
      <c r="BD586" s="107">
        <v>20.81391</v>
      </c>
      <c r="BE586" s="107"/>
      <c r="BF586" s="107"/>
      <c r="BG586" s="107"/>
      <c r="BH586" s="107"/>
      <c r="BI586" s="107"/>
      <c r="BJ586" s="107"/>
      <c r="BK586" s="107"/>
      <c r="BL586" s="107"/>
      <c r="BM586" s="107"/>
      <c r="BN586" s="107"/>
      <c r="BO586" s="107"/>
      <c r="BP586" s="107"/>
      <c r="BQ586" s="109"/>
      <c r="BR586" s="109"/>
      <c r="BS586" s="109"/>
      <c r="BT586" s="109"/>
      <c r="BU586" s="138"/>
    </row>
    <row r="587" spans="1:73" ht="24.75" customHeight="1" outlineLevel="2">
      <c r="A587" s="35" t="s">
        <v>635</v>
      </c>
      <c r="B587" s="19" t="s">
        <v>1255</v>
      </c>
      <c r="C587" s="20" t="s">
        <v>710</v>
      </c>
      <c r="D587" s="218" t="s">
        <v>1460</v>
      </c>
      <c r="E587" s="220" t="s">
        <v>2387</v>
      </c>
      <c r="F587" s="108">
        <f t="shared" si="102"/>
        <v>95.32251</v>
      </c>
      <c r="G587" s="106">
        <f t="shared" si="103"/>
        <v>54.23509</v>
      </c>
      <c r="H587" s="106">
        <f t="shared" si="104"/>
        <v>41.08742</v>
      </c>
      <c r="I587" s="107"/>
      <c r="J587" s="107"/>
      <c r="K587" s="107"/>
      <c r="L587" s="107"/>
      <c r="M587" s="107"/>
      <c r="N587" s="107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7"/>
      <c r="Z587" s="107"/>
      <c r="AA587" s="159">
        <v>34.72805</v>
      </c>
      <c r="AB587" s="106">
        <v>19.80731</v>
      </c>
      <c r="AC587" s="107"/>
      <c r="AD587" s="107"/>
      <c r="AE587" s="107"/>
      <c r="AF587" s="107"/>
      <c r="AG587" s="107"/>
      <c r="AH587" s="107"/>
      <c r="AI587" s="107"/>
      <c r="AJ587" s="108">
        <v>2.15088</v>
      </c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7"/>
      <c r="AV587" s="107"/>
      <c r="AW587" s="107"/>
      <c r="AX587" s="107"/>
      <c r="AY587" s="106"/>
      <c r="AZ587" s="107"/>
      <c r="BA587" s="107"/>
      <c r="BB587" s="107"/>
      <c r="BC587" s="107">
        <v>19.50704</v>
      </c>
      <c r="BD587" s="107">
        <v>19.12923</v>
      </c>
      <c r="BE587" s="107"/>
      <c r="BF587" s="107"/>
      <c r="BG587" s="107"/>
      <c r="BH587" s="107"/>
      <c r="BI587" s="107"/>
      <c r="BJ587" s="107"/>
      <c r="BK587" s="107"/>
      <c r="BL587" s="107"/>
      <c r="BM587" s="107"/>
      <c r="BN587" s="107"/>
      <c r="BO587" s="107"/>
      <c r="BP587" s="107"/>
      <c r="BQ587" s="109"/>
      <c r="BR587" s="109"/>
      <c r="BS587" s="109"/>
      <c r="BT587" s="109"/>
      <c r="BU587" s="138"/>
    </row>
    <row r="588" spans="1:73" ht="39.75" customHeight="1" outlineLevel="2">
      <c r="A588" s="2" t="s">
        <v>635</v>
      </c>
      <c r="B588" s="3" t="s">
        <v>560</v>
      </c>
      <c r="C588" s="4" t="s">
        <v>710</v>
      </c>
      <c r="D588" s="254">
        <v>242400252952</v>
      </c>
      <c r="E588" s="255" t="s">
        <v>2388</v>
      </c>
      <c r="F588" s="108">
        <f t="shared" si="102"/>
        <v>53.20219</v>
      </c>
      <c r="G588" s="106">
        <f t="shared" si="103"/>
        <v>28.29106</v>
      </c>
      <c r="H588" s="106">
        <f t="shared" si="104"/>
        <v>24.91113</v>
      </c>
      <c r="I588" s="119"/>
      <c r="J588" s="119"/>
      <c r="K588" s="119"/>
      <c r="L588" s="119"/>
      <c r="M588" s="119"/>
      <c r="N588" s="119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19"/>
      <c r="Z588" s="119"/>
      <c r="AA588" s="163">
        <v>15.18112</v>
      </c>
      <c r="AB588" s="120">
        <v>9.90365</v>
      </c>
      <c r="AC588" s="119"/>
      <c r="AD588" s="119"/>
      <c r="AE588" s="119"/>
      <c r="AF588" s="119"/>
      <c r="AG588" s="119"/>
      <c r="AH588" s="119"/>
      <c r="AI588" s="119"/>
      <c r="AJ588" s="108">
        <v>2.15088</v>
      </c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  <c r="AX588" s="119"/>
      <c r="AY588" s="120"/>
      <c r="AZ588" s="119"/>
      <c r="BA588" s="119"/>
      <c r="BB588" s="119"/>
      <c r="BC588" s="119">
        <v>13.10994</v>
      </c>
      <c r="BD588" s="119">
        <v>12.8566</v>
      </c>
      <c r="BE588" s="119"/>
      <c r="BF588" s="119"/>
      <c r="BG588" s="119"/>
      <c r="BH588" s="119"/>
      <c r="BI588" s="119"/>
      <c r="BJ588" s="119"/>
      <c r="BK588" s="119"/>
      <c r="BL588" s="119"/>
      <c r="BM588" s="119"/>
      <c r="BN588" s="119"/>
      <c r="BO588" s="119"/>
      <c r="BP588" s="119"/>
      <c r="BQ588" s="121"/>
      <c r="BR588" s="121"/>
      <c r="BS588" s="121"/>
      <c r="BT588" s="121"/>
      <c r="BU588" s="140"/>
    </row>
    <row r="589" spans="1:73" ht="39" customHeight="1" outlineLevel="2">
      <c r="A589" s="35" t="s">
        <v>635</v>
      </c>
      <c r="B589" s="19" t="s">
        <v>1415</v>
      </c>
      <c r="C589" s="20" t="s">
        <v>934</v>
      </c>
      <c r="D589" s="218" t="s">
        <v>544</v>
      </c>
      <c r="E589" s="203" t="s">
        <v>2389</v>
      </c>
      <c r="F589" s="108">
        <f t="shared" si="102"/>
        <v>192.8642</v>
      </c>
      <c r="G589" s="106">
        <f t="shared" si="103"/>
        <v>24.99469</v>
      </c>
      <c r="H589" s="106">
        <f t="shared" si="104"/>
        <v>167.86951000000002</v>
      </c>
      <c r="I589" s="107"/>
      <c r="J589" s="107"/>
      <c r="K589" s="107"/>
      <c r="L589" s="107"/>
      <c r="M589" s="107"/>
      <c r="N589" s="107"/>
      <c r="O589" s="106">
        <v>24.99469</v>
      </c>
      <c r="P589" s="106">
        <v>1.12522</v>
      </c>
      <c r="Q589" s="106"/>
      <c r="R589" s="106"/>
      <c r="S589" s="106"/>
      <c r="T589" s="106"/>
      <c r="U589" s="106"/>
      <c r="V589" s="106"/>
      <c r="W589" s="106"/>
      <c r="X589" s="106"/>
      <c r="Y589" s="107"/>
      <c r="Z589" s="107"/>
      <c r="AA589" s="106"/>
      <c r="AB589" s="106"/>
      <c r="AC589" s="107"/>
      <c r="AD589" s="107"/>
      <c r="AE589" s="107"/>
      <c r="AF589" s="107"/>
      <c r="AG589" s="107"/>
      <c r="AH589" s="107"/>
      <c r="AI589" s="107"/>
      <c r="AJ589" s="108">
        <v>0</v>
      </c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7"/>
      <c r="AV589" s="107"/>
      <c r="AW589" s="107"/>
      <c r="AX589" s="107"/>
      <c r="AY589" s="106"/>
      <c r="AZ589" s="107"/>
      <c r="BA589" s="107"/>
      <c r="BB589" s="107"/>
      <c r="BC589" s="107"/>
      <c r="BD589" s="107"/>
      <c r="BE589" s="107"/>
      <c r="BF589" s="107"/>
      <c r="BG589" s="107"/>
      <c r="BH589" s="107"/>
      <c r="BI589" s="107"/>
      <c r="BJ589" s="107"/>
      <c r="BK589" s="107"/>
      <c r="BL589" s="107"/>
      <c r="BM589" s="107">
        <v>166.74429</v>
      </c>
      <c r="BN589" s="107"/>
      <c r="BO589" s="107"/>
      <c r="BP589" s="107"/>
      <c r="BQ589" s="109"/>
      <c r="BR589" s="109"/>
      <c r="BS589" s="109"/>
      <c r="BT589" s="109"/>
      <c r="BU589" s="138"/>
    </row>
    <row r="590" spans="1:73" ht="32.25" customHeight="1" outlineLevel="2">
      <c r="A590" s="35" t="s">
        <v>635</v>
      </c>
      <c r="B590" s="19" t="s">
        <v>1138</v>
      </c>
      <c r="C590" s="20" t="s">
        <v>934</v>
      </c>
      <c r="D590" s="218" t="s">
        <v>545</v>
      </c>
      <c r="E590" s="203" t="s">
        <v>2390</v>
      </c>
      <c r="F590" s="108">
        <f t="shared" si="102"/>
        <v>209.53414</v>
      </c>
      <c r="G590" s="106">
        <f t="shared" si="103"/>
        <v>0</v>
      </c>
      <c r="H590" s="106">
        <f t="shared" si="104"/>
        <v>209.53414</v>
      </c>
      <c r="I590" s="107"/>
      <c r="J590" s="107"/>
      <c r="K590" s="107"/>
      <c r="L590" s="107"/>
      <c r="M590" s="107"/>
      <c r="N590" s="107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7"/>
      <c r="Z590" s="107"/>
      <c r="AA590" s="106"/>
      <c r="AB590" s="106"/>
      <c r="AC590" s="107"/>
      <c r="AD590" s="107"/>
      <c r="AE590" s="107"/>
      <c r="AF590" s="107"/>
      <c r="AG590" s="107"/>
      <c r="AH590" s="107"/>
      <c r="AI590" s="107"/>
      <c r="AJ590" s="108">
        <v>0</v>
      </c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7"/>
      <c r="AV590" s="107"/>
      <c r="AW590" s="107"/>
      <c r="AX590" s="107"/>
      <c r="AY590" s="106"/>
      <c r="AZ590" s="107"/>
      <c r="BA590" s="107"/>
      <c r="BB590" s="107"/>
      <c r="BC590" s="107"/>
      <c r="BD590" s="107"/>
      <c r="BE590" s="107"/>
      <c r="BF590" s="107"/>
      <c r="BG590" s="107"/>
      <c r="BH590" s="107"/>
      <c r="BI590" s="107"/>
      <c r="BJ590" s="107"/>
      <c r="BK590" s="107"/>
      <c r="BL590" s="107"/>
      <c r="BM590" s="107"/>
      <c r="BN590" s="107">
        <v>209.53414</v>
      </c>
      <c r="BO590" s="107"/>
      <c r="BP590" s="107"/>
      <c r="BQ590" s="109"/>
      <c r="BR590" s="109"/>
      <c r="BS590" s="109"/>
      <c r="BT590" s="109"/>
      <c r="BU590" s="138"/>
    </row>
    <row r="591" spans="1:73" ht="33.75" customHeight="1" outlineLevel="2" thickBot="1">
      <c r="A591" s="35" t="s">
        <v>635</v>
      </c>
      <c r="B591" s="19" t="s">
        <v>614</v>
      </c>
      <c r="C591" s="20" t="s">
        <v>934</v>
      </c>
      <c r="D591" s="218" t="s">
        <v>1163</v>
      </c>
      <c r="E591" s="203" t="s">
        <v>2391</v>
      </c>
      <c r="F591" s="108">
        <f t="shared" si="102"/>
        <v>419.22163</v>
      </c>
      <c r="G591" s="106">
        <f t="shared" si="103"/>
        <v>0</v>
      </c>
      <c r="H591" s="106">
        <f t="shared" si="104"/>
        <v>419.22163</v>
      </c>
      <c r="I591" s="107"/>
      <c r="J591" s="107"/>
      <c r="K591" s="107"/>
      <c r="L591" s="107"/>
      <c r="M591" s="107"/>
      <c r="N591" s="107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7"/>
      <c r="Z591" s="107"/>
      <c r="AA591" s="106"/>
      <c r="AB591" s="106"/>
      <c r="AC591" s="107"/>
      <c r="AD591" s="107"/>
      <c r="AE591" s="107"/>
      <c r="AF591" s="107"/>
      <c r="AG591" s="107"/>
      <c r="AH591" s="107"/>
      <c r="AI591" s="107"/>
      <c r="AJ591" s="108">
        <v>0</v>
      </c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7"/>
      <c r="AV591" s="107"/>
      <c r="AW591" s="107"/>
      <c r="AX591" s="107"/>
      <c r="AY591" s="106"/>
      <c r="AZ591" s="107"/>
      <c r="BA591" s="107"/>
      <c r="BB591" s="107"/>
      <c r="BC591" s="107"/>
      <c r="BD591" s="107"/>
      <c r="BE591" s="107"/>
      <c r="BF591" s="107"/>
      <c r="BG591" s="107"/>
      <c r="BH591" s="107"/>
      <c r="BI591" s="107"/>
      <c r="BJ591" s="107"/>
      <c r="BK591" s="107"/>
      <c r="BL591" s="107"/>
      <c r="BM591" s="107"/>
      <c r="BN591" s="113">
        <v>419.22163</v>
      </c>
      <c r="BO591" s="107"/>
      <c r="BP591" s="107"/>
      <c r="BQ591" s="109"/>
      <c r="BR591" s="109"/>
      <c r="BS591" s="109"/>
      <c r="BT591" s="109"/>
      <c r="BU591" s="138"/>
    </row>
    <row r="592" spans="1:73" s="32" customFormat="1" ht="21" outlineLevel="1" thickBot="1">
      <c r="A592" s="40" t="s">
        <v>51</v>
      </c>
      <c r="B592" s="44"/>
      <c r="C592" s="30" t="s">
        <v>1572</v>
      </c>
      <c r="D592" s="222"/>
      <c r="E592" s="223"/>
      <c r="F592" s="116">
        <f aca="true" t="shared" si="105" ref="F592:AV592">SUBTOTAL(9,F570:F591)</f>
        <v>11409.044329999999</v>
      </c>
      <c r="G592" s="116">
        <f t="shared" si="105"/>
        <v>4686.524120000002</v>
      </c>
      <c r="H592" s="116">
        <f t="shared" si="105"/>
        <v>6722.520210000001</v>
      </c>
      <c r="I592" s="116">
        <f t="shared" si="105"/>
        <v>0</v>
      </c>
      <c r="J592" s="116">
        <f t="shared" si="105"/>
        <v>0</v>
      </c>
      <c r="K592" s="116">
        <f t="shared" si="105"/>
        <v>922.3553199999999</v>
      </c>
      <c r="L592" s="116">
        <f t="shared" si="105"/>
        <v>167.77125999999998</v>
      </c>
      <c r="M592" s="116">
        <f t="shared" si="105"/>
        <v>0</v>
      </c>
      <c r="N592" s="116">
        <f t="shared" si="105"/>
        <v>0</v>
      </c>
      <c r="O592" s="116">
        <f t="shared" si="105"/>
        <v>24.99469</v>
      </c>
      <c r="P592" s="116">
        <f t="shared" si="105"/>
        <v>1.12522</v>
      </c>
      <c r="Q592" s="116">
        <f t="shared" si="105"/>
        <v>0</v>
      </c>
      <c r="R592" s="116">
        <f t="shared" si="105"/>
        <v>0</v>
      </c>
      <c r="S592" s="116">
        <f t="shared" si="105"/>
        <v>0</v>
      </c>
      <c r="T592" s="116">
        <f t="shared" si="105"/>
        <v>0</v>
      </c>
      <c r="U592" s="116">
        <f t="shared" si="105"/>
        <v>0</v>
      </c>
      <c r="V592" s="116">
        <f t="shared" si="105"/>
        <v>0</v>
      </c>
      <c r="W592" s="116">
        <f t="shared" si="105"/>
        <v>0</v>
      </c>
      <c r="X592" s="116">
        <f t="shared" si="105"/>
        <v>0</v>
      </c>
      <c r="Y592" s="116">
        <f t="shared" si="105"/>
        <v>0</v>
      </c>
      <c r="Z592" s="116">
        <f t="shared" si="105"/>
        <v>248.88</v>
      </c>
      <c r="AA592" s="116">
        <f t="shared" si="105"/>
        <v>640.1372000000001</v>
      </c>
      <c r="AB592" s="116">
        <f t="shared" si="105"/>
        <v>391.19436</v>
      </c>
      <c r="AC592" s="116">
        <f t="shared" si="105"/>
        <v>0</v>
      </c>
      <c r="AD592" s="116">
        <f t="shared" si="105"/>
        <v>0</v>
      </c>
      <c r="AE592" s="116">
        <f t="shared" si="105"/>
        <v>0</v>
      </c>
      <c r="AF592" s="116">
        <f t="shared" si="105"/>
        <v>0</v>
      </c>
      <c r="AG592" s="116">
        <f t="shared" si="105"/>
        <v>51.1806</v>
      </c>
      <c r="AH592" s="116">
        <f t="shared" si="105"/>
        <v>0</v>
      </c>
      <c r="AI592" s="116">
        <f t="shared" si="105"/>
        <v>0</v>
      </c>
      <c r="AJ592" s="116">
        <f>SUBTOTAL(9,AJ570:AJ591)</f>
        <v>109.2992</v>
      </c>
      <c r="AK592" s="116">
        <f t="shared" si="105"/>
        <v>0</v>
      </c>
      <c r="AL592" s="116">
        <f t="shared" si="105"/>
        <v>0</v>
      </c>
      <c r="AM592" s="116">
        <f t="shared" si="105"/>
        <v>0</v>
      </c>
      <c r="AN592" s="116">
        <f t="shared" si="105"/>
        <v>58.3412</v>
      </c>
      <c r="AO592" s="116">
        <f t="shared" si="105"/>
        <v>0</v>
      </c>
      <c r="AP592" s="116">
        <f t="shared" si="105"/>
        <v>0</v>
      </c>
      <c r="AQ592" s="116">
        <f t="shared" si="105"/>
        <v>0</v>
      </c>
      <c r="AR592" s="116">
        <f t="shared" si="105"/>
        <v>0</v>
      </c>
      <c r="AS592" s="116">
        <f t="shared" si="105"/>
        <v>0</v>
      </c>
      <c r="AT592" s="116">
        <f t="shared" si="105"/>
        <v>0</v>
      </c>
      <c r="AU592" s="116">
        <f t="shared" si="105"/>
        <v>0</v>
      </c>
      <c r="AV592" s="116">
        <f t="shared" si="105"/>
        <v>0</v>
      </c>
      <c r="AW592" s="116">
        <f aca="true" t="shared" si="106" ref="AW592:BU592">SUBTOTAL(9,AW570:AW591)</f>
        <v>0</v>
      </c>
      <c r="AX592" s="116">
        <f t="shared" si="106"/>
        <v>1560.20059</v>
      </c>
      <c r="AY592" s="116">
        <f t="shared" si="106"/>
        <v>1149.53123</v>
      </c>
      <c r="AZ592" s="116">
        <f t="shared" si="106"/>
        <v>873.45</v>
      </c>
      <c r="BA592" s="116">
        <f t="shared" si="106"/>
        <v>0</v>
      </c>
      <c r="BB592" s="116">
        <f t="shared" si="106"/>
        <v>0</v>
      </c>
      <c r="BC592" s="116">
        <f t="shared" si="106"/>
        <v>1538.8363199999997</v>
      </c>
      <c r="BD592" s="116">
        <f t="shared" si="106"/>
        <v>1509.14069</v>
      </c>
      <c r="BE592" s="116">
        <f t="shared" si="106"/>
        <v>0</v>
      </c>
      <c r="BF592" s="116">
        <f t="shared" si="106"/>
        <v>0</v>
      </c>
      <c r="BG592" s="116">
        <f t="shared" si="106"/>
        <v>0</v>
      </c>
      <c r="BH592" s="116">
        <f t="shared" si="106"/>
        <v>0</v>
      </c>
      <c r="BI592" s="116">
        <f t="shared" si="106"/>
        <v>0</v>
      </c>
      <c r="BJ592" s="116">
        <f t="shared" si="106"/>
        <v>359.47389000000004</v>
      </c>
      <c r="BK592" s="116"/>
      <c r="BL592" s="116">
        <f t="shared" si="106"/>
        <v>0</v>
      </c>
      <c r="BM592" s="116">
        <f t="shared" si="106"/>
        <v>1174.37679</v>
      </c>
      <c r="BN592" s="116">
        <f t="shared" si="106"/>
        <v>628.75577</v>
      </c>
      <c r="BO592" s="116">
        <f t="shared" si="106"/>
        <v>0</v>
      </c>
      <c r="BP592" s="116">
        <f t="shared" si="106"/>
        <v>0</v>
      </c>
      <c r="BQ592" s="116">
        <f t="shared" si="106"/>
        <v>0</v>
      </c>
      <c r="BR592" s="116">
        <f t="shared" si="106"/>
        <v>0</v>
      </c>
      <c r="BS592" s="116">
        <f t="shared" si="106"/>
        <v>0</v>
      </c>
      <c r="BT592" s="116">
        <f t="shared" si="106"/>
        <v>0</v>
      </c>
      <c r="BU592" s="116">
        <f t="shared" si="106"/>
        <v>0</v>
      </c>
    </row>
    <row r="593" spans="1:73" ht="30.75" customHeight="1" outlineLevel="2">
      <c r="A593" s="2" t="s">
        <v>1051</v>
      </c>
      <c r="B593" s="3" t="s">
        <v>267</v>
      </c>
      <c r="C593" s="4" t="s">
        <v>1496</v>
      </c>
      <c r="D593" s="230" t="s">
        <v>153</v>
      </c>
      <c r="E593" s="203" t="s">
        <v>2395</v>
      </c>
      <c r="F593" s="108">
        <f t="shared" si="102"/>
        <v>51596.932850000005</v>
      </c>
      <c r="G593" s="106">
        <f>I593+K593+O593+S593+U593+W593+Y593+AA593+AC593+AE593+AR593+AX593+BC593+BG593+BP593+BR593+BT593+AO593</f>
        <v>20471.53183</v>
      </c>
      <c r="H593" s="106">
        <f>J593+L593+M593+N593+P593+Q593+R593+T593+V593+X593+Z593+AB593+AD593+AF593+AG593+AJ593+AL593+AS593+AT593+AU593+AV593+AW593+AY593+AZ593+BA593+BB593+BD593+BE593+BF593+BH593+BI593+BJ593+BL593+BM593+BN593+BO593+BQ593+BS593+BU593+AH593+AI593+AK593+AM593+AN593+AP593+AQ593+BK593</f>
        <v>31125.401020000005</v>
      </c>
      <c r="I593" s="119">
        <v>948.34425</v>
      </c>
      <c r="J593" s="119">
        <v>215.04302</v>
      </c>
      <c r="K593" s="138">
        <v>2490.35056</v>
      </c>
      <c r="L593" s="119">
        <v>394.02915</v>
      </c>
      <c r="M593" s="119">
        <v>4436.37541</v>
      </c>
      <c r="N593" s="119"/>
      <c r="O593" s="120"/>
      <c r="P593" s="120"/>
      <c r="Q593" s="120"/>
      <c r="R593" s="120"/>
      <c r="S593" s="120">
        <v>57.36575</v>
      </c>
      <c r="T593" s="120">
        <v>19.81726</v>
      </c>
      <c r="U593" s="120">
        <v>2118.28356</v>
      </c>
      <c r="V593" s="120">
        <v>438.73557</v>
      </c>
      <c r="W593" s="126">
        <v>1192.37551</v>
      </c>
      <c r="X593" s="126">
        <v>622.5035</v>
      </c>
      <c r="Y593" s="119">
        <v>353</v>
      </c>
      <c r="Z593" s="119">
        <v>920.877</v>
      </c>
      <c r="AA593" s="163">
        <v>654.07882</v>
      </c>
      <c r="AB593" s="120">
        <v>237.68771</v>
      </c>
      <c r="AC593" s="119"/>
      <c r="AD593" s="119"/>
      <c r="AE593" s="119"/>
      <c r="AF593" s="119"/>
      <c r="AG593" s="119">
        <v>364.5288</v>
      </c>
      <c r="AH593" s="119"/>
      <c r="AI593" s="119"/>
      <c r="AJ593" s="108">
        <v>1529.0420800000002</v>
      </c>
      <c r="AK593" s="119">
        <f>102.1479+51.881</f>
        <v>154.02890000000002</v>
      </c>
      <c r="AL593" s="119"/>
      <c r="AM593" s="119"/>
      <c r="AN593" s="119"/>
      <c r="AO593" s="119">
        <v>6297.6416</v>
      </c>
      <c r="AP593" s="119">
        <v>1726.4</v>
      </c>
      <c r="AQ593" s="119"/>
      <c r="AR593" s="119"/>
      <c r="AS593" s="119"/>
      <c r="AT593" s="119"/>
      <c r="AU593" s="119"/>
      <c r="AV593" s="119"/>
      <c r="AW593" s="119"/>
      <c r="AX593" s="119">
        <v>3231.84</v>
      </c>
      <c r="AY593" s="120">
        <v>3033.69035</v>
      </c>
      <c r="AZ593" s="119">
        <v>217.917</v>
      </c>
      <c r="BA593" s="119">
        <v>8122.59632</v>
      </c>
      <c r="BB593" s="119"/>
      <c r="BC593" s="119">
        <v>3128.25178</v>
      </c>
      <c r="BD593" s="119">
        <v>3067.81822</v>
      </c>
      <c r="BE593" s="119"/>
      <c r="BF593" s="119"/>
      <c r="BG593" s="119"/>
      <c r="BH593" s="119"/>
      <c r="BI593" s="119"/>
      <c r="BJ593" s="119">
        <v>5624.31073</v>
      </c>
      <c r="BK593" s="119"/>
      <c r="BL593" s="119"/>
      <c r="BM593" s="119"/>
      <c r="BN593" s="119"/>
      <c r="BO593" s="119"/>
      <c r="BP593" s="119"/>
      <c r="BQ593" s="121"/>
      <c r="BR593" s="121"/>
      <c r="BS593" s="121"/>
      <c r="BT593" s="121"/>
      <c r="BU593" s="140"/>
    </row>
    <row r="594" spans="1:73" ht="40.5" customHeight="1" outlineLevel="2">
      <c r="A594" s="38" t="s">
        <v>1051</v>
      </c>
      <c r="B594" s="39" t="s">
        <v>397</v>
      </c>
      <c r="C594" s="27" t="s">
        <v>1496</v>
      </c>
      <c r="D594" s="219" t="s">
        <v>1052</v>
      </c>
      <c r="E594" s="203" t="s">
        <v>2396</v>
      </c>
      <c r="F594" s="108">
        <f t="shared" si="102"/>
        <v>1700.50167</v>
      </c>
      <c r="G594" s="106">
        <f aca="true" t="shared" si="107" ref="G594:G649">I594+K594+O594+S594+U594+W594+Y594+AA594+AC594+AE594+AR594+AX594+BC594+BG594+BP594+BR594+BT594+AO594</f>
        <v>612.6503100000001</v>
      </c>
      <c r="H594" s="106">
        <f aca="true" t="shared" si="108" ref="H594:H649">J594+L594+M594+N594+P594+Q594+R594+T594+V594+X594+Z594+AB594+AD594+AF594+AG594+AJ594+AL594+AS594+AT594+AU594+AV594+AW594+AY594+AZ594+BA594+BB594+BD594+BE594+BF594+BH594+BI594+BJ594+BL594+BM594+BN594+BO594+BQ594+BS594+BU594+AH594+AI594+AK594+AM594+AN594+AP594+AQ594+BK594</f>
        <v>1087.85136</v>
      </c>
      <c r="I594" s="113"/>
      <c r="J594" s="113"/>
      <c r="K594" s="113">
        <v>10.33633</v>
      </c>
      <c r="L594" s="113">
        <v>1.98623</v>
      </c>
      <c r="M594" s="113"/>
      <c r="N594" s="113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3"/>
      <c r="Z594" s="113"/>
      <c r="AA594" s="162">
        <v>16.44324</v>
      </c>
      <c r="AB594" s="114">
        <v>11.88439</v>
      </c>
      <c r="AC594" s="113"/>
      <c r="AD594" s="113"/>
      <c r="AE594" s="113">
        <v>513.35</v>
      </c>
      <c r="AF594" s="113">
        <v>1001.5987</v>
      </c>
      <c r="AG594" s="113"/>
      <c r="AH594" s="113"/>
      <c r="AI594" s="113"/>
      <c r="AJ594" s="108">
        <v>0</v>
      </c>
      <c r="AK594" s="113"/>
      <c r="AL594" s="113"/>
      <c r="AM594" s="113"/>
      <c r="AN594" s="113"/>
      <c r="AO594" s="113"/>
      <c r="AP594" s="113"/>
      <c r="AQ594" s="113"/>
      <c r="AR594" s="113"/>
      <c r="AS594" s="113"/>
      <c r="AT594" s="113"/>
      <c r="AU594" s="113"/>
      <c r="AV594" s="113"/>
      <c r="AW594" s="113"/>
      <c r="AX594" s="113"/>
      <c r="AY594" s="114"/>
      <c r="AZ594" s="113"/>
      <c r="BA594" s="113"/>
      <c r="BB594" s="113"/>
      <c r="BC594" s="113">
        <v>72.52074</v>
      </c>
      <c r="BD594" s="113">
        <v>72.38204</v>
      </c>
      <c r="BE594" s="113"/>
      <c r="BF594" s="113"/>
      <c r="BG594" s="113"/>
      <c r="BH594" s="113"/>
      <c r="BI594" s="113"/>
      <c r="BJ594" s="113"/>
      <c r="BK594" s="113"/>
      <c r="BL594" s="113"/>
      <c r="BM594" s="113"/>
      <c r="BN594" s="113"/>
      <c r="BO594" s="113"/>
      <c r="BP594" s="113"/>
      <c r="BQ594" s="115"/>
      <c r="BR594" s="115"/>
      <c r="BS594" s="115"/>
      <c r="BT594" s="115"/>
      <c r="BU594" s="139"/>
    </row>
    <row r="595" spans="1:73" ht="55.5" customHeight="1" outlineLevel="2">
      <c r="A595" s="35" t="s">
        <v>1051</v>
      </c>
      <c r="B595" s="37" t="s">
        <v>5</v>
      </c>
      <c r="C595" s="20" t="s">
        <v>1496</v>
      </c>
      <c r="D595" s="218" t="s">
        <v>1053</v>
      </c>
      <c r="E595" s="203" t="s">
        <v>2392</v>
      </c>
      <c r="F595" s="108">
        <f t="shared" si="102"/>
        <v>9879.460789999997</v>
      </c>
      <c r="G595" s="106">
        <f t="shared" si="107"/>
        <v>5226.980079999999</v>
      </c>
      <c r="H595" s="106">
        <f t="shared" si="108"/>
        <v>4652.480709999999</v>
      </c>
      <c r="I595" s="107">
        <v>119.75299</v>
      </c>
      <c r="J595" s="107">
        <v>27.63531</v>
      </c>
      <c r="K595" s="107">
        <v>1478.51268</v>
      </c>
      <c r="L595" s="107">
        <v>162.56037</v>
      </c>
      <c r="M595" s="107">
        <v>24.9962</v>
      </c>
      <c r="N595" s="107"/>
      <c r="O595" s="106"/>
      <c r="P595" s="106"/>
      <c r="Q595" s="106"/>
      <c r="R595" s="106"/>
      <c r="S595" s="106"/>
      <c r="T595" s="106"/>
      <c r="U595" s="106"/>
      <c r="V595" s="106"/>
      <c r="W595" s="106">
        <v>693.37759</v>
      </c>
      <c r="X595" s="106">
        <v>361.99164</v>
      </c>
      <c r="Y595" s="107">
        <v>48.64</v>
      </c>
      <c r="Z595" s="107">
        <v>127.776</v>
      </c>
      <c r="AA595" s="159">
        <v>646.34657</v>
      </c>
      <c r="AB595" s="106">
        <v>324.83987</v>
      </c>
      <c r="AC595" s="107"/>
      <c r="AD595" s="107"/>
      <c r="AE595" s="107"/>
      <c r="AF595" s="107"/>
      <c r="AG595" s="107">
        <v>80.2578</v>
      </c>
      <c r="AH595" s="107"/>
      <c r="AI595" s="107"/>
      <c r="AJ595" s="108">
        <v>395.72904</v>
      </c>
      <c r="AK595" s="107">
        <v>39.8024</v>
      </c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7"/>
      <c r="AV595" s="107"/>
      <c r="AW595" s="107"/>
      <c r="AX595" s="107">
        <v>676.16</v>
      </c>
      <c r="AY595" s="106"/>
      <c r="AZ595" s="107"/>
      <c r="BA595" s="107"/>
      <c r="BB595" s="107"/>
      <c r="BC595" s="107">
        <v>1564.19025</v>
      </c>
      <c r="BD595" s="107">
        <v>1533.9232</v>
      </c>
      <c r="BE595" s="107"/>
      <c r="BF595" s="107"/>
      <c r="BG595" s="107"/>
      <c r="BH595" s="107"/>
      <c r="BI595" s="107"/>
      <c r="BJ595" s="107">
        <v>1572.96888</v>
      </c>
      <c r="BK595" s="107"/>
      <c r="BL595" s="107"/>
      <c r="BM595" s="107"/>
      <c r="BN595" s="107"/>
      <c r="BO595" s="107"/>
      <c r="BP595" s="107"/>
      <c r="BQ595" s="109"/>
      <c r="BR595" s="109"/>
      <c r="BS595" s="109"/>
      <c r="BT595" s="109"/>
      <c r="BU595" s="138"/>
    </row>
    <row r="596" spans="1:73" ht="34.5" customHeight="1" outlineLevel="2">
      <c r="A596" s="19" t="s">
        <v>1051</v>
      </c>
      <c r="B596" s="19" t="s">
        <v>1091</v>
      </c>
      <c r="C596" s="20" t="s">
        <v>1496</v>
      </c>
      <c r="D596" s="218" t="s">
        <v>1092</v>
      </c>
      <c r="E596" s="203" t="s">
        <v>2401</v>
      </c>
      <c r="F596" s="108">
        <f t="shared" si="102"/>
        <v>814.51948</v>
      </c>
      <c r="G596" s="106">
        <f t="shared" si="107"/>
        <v>303.75171</v>
      </c>
      <c r="H596" s="106">
        <f t="shared" si="108"/>
        <v>510.76777000000004</v>
      </c>
      <c r="I596" s="107"/>
      <c r="J596" s="107"/>
      <c r="K596" s="107"/>
      <c r="L596" s="107"/>
      <c r="M596" s="107"/>
      <c r="N596" s="107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7"/>
      <c r="Z596" s="107"/>
      <c r="AA596" s="159">
        <v>86.0065</v>
      </c>
      <c r="AB596" s="106">
        <v>39.61462</v>
      </c>
      <c r="AC596" s="107"/>
      <c r="AD596" s="107"/>
      <c r="AE596" s="107"/>
      <c r="AF596" s="107"/>
      <c r="AG596" s="107"/>
      <c r="AH596" s="107"/>
      <c r="AI596" s="107"/>
      <c r="AJ596" s="108">
        <v>0</v>
      </c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7"/>
      <c r="AV596" s="107"/>
      <c r="AW596" s="107"/>
      <c r="AX596" s="107"/>
      <c r="AY596" s="106"/>
      <c r="AZ596" s="107">
        <v>257.625</v>
      </c>
      <c r="BA596" s="107"/>
      <c r="BB596" s="107"/>
      <c r="BC596" s="107">
        <v>217.74521</v>
      </c>
      <c r="BD596" s="107">
        <v>213.52815</v>
      </c>
      <c r="BE596" s="107"/>
      <c r="BF596" s="107"/>
      <c r="BG596" s="107"/>
      <c r="BH596" s="107"/>
      <c r="BI596" s="107"/>
      <c r="BJ596" s="107"/>
      <c r="BK596" s="107"/>
      <c r="BL596" s="107"/>
      <c r="BM596" s="107"/>
      <c r="BN596" s="107"/>
      <c r="BO596" s="107"/>
      <c r="BP596" s="107"/>
      <c r="BQ596" s="109"/>
      <c r="BR596" s="109"/>
      <c r="BS596" s="109"/>
      <c r="BT596" s="109"/>
      <c r="BU596" s="138"/>
    </row>
    <row r="597" spans="1:73" ht="38.25" customHeight="1" outlineLevel="2">
      <c r="A597" s="24" t="s">
        <v>1051</v>
      </c>
      <c r="B597" s="19" t="s">
        <v>1256</v>
      </c>
      <c r="C597" s="20" t="s">
        <v>1496</v>
      </c>
      <c r="D597" s="209" t="s">
        <v>162</v>
      </c>
      <c r="E597" s="203" t="s">
        <v>2408</v>
      </c>
      <c r="F597" s="108">
        <f t="shared" si="102"/>
        <v>1240.63068</v>
      </c>
      <c r="G597" s="106">
        <f t="shared" si="107"/>
        <v>221.81151999999997</v>
      </c>
      <c r="H597" s="106">
        <f t="shared" si="108"/>
        <v>1018.81916</v>
      </c>
      <c r="I597" s="107"/>
      <c r="J597" s="107"/>
      <c r="K597" s="107"/>
      <c r="L597" s="107"/>
      <c r="M597" s="107"/>
      <c r="N597" s="107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7"/>
      <c r="Z597" s="107"/>
      <c r="AA597" s="159">
        <v>59.5338</v>
      </c>
      <c r="AB597" s="106">
        <v>49.51827</v>
      </c>
      <c r="AC597" s="107"/>
      <c r="AD597" s="107"/>
      <c r="AE597" s="107"/>
      <c r="AF597" s="107"/>
      <c r="AG597" s="107"/>
      <c r="AH597" s="107"/>
      <c r="AI597" s="107"/>
      <c r="AJ597" s="108">
        <v>0</v>
      </c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7"/>
      <c r="AV597" s="107"/>
      <c r="AW597" s="107"/>
      <c r="AX597" s="107"/>
      <c r="AY597" s="106"/>
      <c r="AZ597" s="107"/>
      <c r="BA597" s="107">
        <f>465.938+344.24005</f>
        <v>810.17805</v>
      </c>
      <c r="BB597" s="107"/>
      <c r="BC597" s="107">
        <v>162.27772</v>
      </c>
      <c r="BD597" s="107">
        <v>159.12284</v>
      </c>
      <c r="BE597" s="107"/>
      <c r="BF597" s="107"/>
      <c r="BG597" s="107"/>
      <c r="BH597" s="107"/>
      <c r="BI597" s="107"/>
      <c r="BJ597" s="107"/>
      <c r="BK597" s="107"/>
      <c r="BL597" s="107"/>
      <c r="BM597" s="107"/>
      <c r="BN597" s="107"/>
      <c r="BO597" s="107"/>
      <c r="BP597" s="107"/>
      <c r="BQ597" s="109"/>
      <c r="BR597" s="109"/>
      <c r="BS597" s="109"/>
      <c r="BT597" s="109"/>
      <c r="BU597" s="138"/>
    </row>
    <row r="598" spans="1:73" ht="36" customHeight="1" outlineLevel="2">
      <c r="A598" s="35" t="s">
        <v>1051</v>
      </c>
      <c r="B598" s="37" t="s">
        <v>1498</v>
      </c>
      <c r="C598" s="20" t="s">
        <v>1496</v>
      </c>
      <c r="D598" s="218" t="s">
        <v>1499</v>
      </c>
      <c r="E598" s="203" t="s">
        <v>2393</v>
      </c>
      <c r="F598" s="108">
        <f t="shared" si="102"/>
        <v>10520.09593</v>
      </c>
      <c r="G598" s="106">
        <f t="shared" si="107"/>
        <v>2440.82561</v>
      </c>
      <c r="H598" s="106">
        <f t="shared" si="108"/>
        <v>8079.27032</v>
      </c>
      <c r="I598" s="107"/>
      <c r="J598" s="107"/>
      <c r="K598" s="107"/>
      <c r="L598" s="107"/>
      <c r="M598" s="107"/>
      <c r="N598" s="107"/>
      <c r="O598" s="106"/>
      <c r="P598" s="106"/>
      <c r="Q598" s="106"/>
      <c r="R598" s="106"/>
      <c r="S598" s="106"/>
      <c r="T598" s="106"/>
      <c r="U598" s="106"/>
      <c r="V598" s="106"/>
      <c r="W598" s="106">
        <v>337.53647</v>
      </c>
      <c r="X598" s="106">
        <v>176.21766</v>
      </c>
      <c r="Y598" s="107">
        <v>21.04459</v>
      </c>
      <c r="Z598" s="107">
        <v>215.985</v>
      </c>
      <c r="AA598" s="159">
        <v>174.13637</v>
      </c>
      <c r="AB598" s="106">
        <v>89.13289</v>
      </c>
      <c r="AC598" s="107"/>
      <c r="AD598" s="107"/>
      <c r="AE598" s="107"/>
      <c r="AF598" s="107"/>
      <c r="AG598" s="107">
        <v>225.2892</v>
      </c>
      <c r="AH598" s="107"/>
      <c r="AI598" s="107"/>
      <c r="AJ598" s="108">
        <v>247.42628</v>
      </c>
      <c r="AK598" s="107">
        <f>57.4171+51.881</f>
        <v>109.2981</v>
      </c>
      <c r="AL598" s="107"/>
      <c r="AM598" s="107"/>
      <c r="AN598" s="107"/>
      <c r="AO598" s="107"/>
      <c r="AP598" s="107">
        <v>884</v>
      </c>
      <c r="AQ598" s="107"/>
      <c r="AR598" s="107"/>
      <c r="AS598" s="107"/>
      <c r="AT598" s="107"/>
      <c r="AU598" s="107"/>
      <c r="AV598" s="107"/>
      <c r="AW598" s="107"/>
      <c r="AX598" s="107">
        <v>579.44</v>
      </c>
      <c r="AY598" s="106">
        <v>1208.7577</v>
      </c>
      <c r="AZ598" s="107"/>
      <c r="BA598" s="107"/>
      <c r="BB598" s="107"/>
      <c r="BC598" s="107">
        <v>1328.66818</v>
      </c>
      <c r="BD598" s="107">
        <v>1302.97555</v>
      </c>
      <c r="BE598" s="107"/>
      <c r="BF598" s="107"/>
      <c r="BG598" s="107"/>
      <c r="BH598" s="107"/>
      <c r="BI598" s="107"/>
      <c r="BJ598" s="107">
        <v>3620.18794</v>
      </c>
      <c r="BK598" s="107"/>
      <c r="BL598" s="107"/>
      <c r="BM598" s="107"/>
      <c r="BN598" s="107"/>
      <c r="BO598" s="107"/>
      <c r="BP598" s="107"/>
      <c r="BQ598" s="109"/>
      <c r="BR598" s="109"/>
      <c r="BS598" s="109"/>
      <c r="BT598" s="109"/>
      <c r="BU598" s="138"/>
    </row>
    <row r="599" spans="1:73" ht="39" customHeight="1" outlineLevel="2">
      <c r="A599" s="35" t="s">
        <v>1051</v>
      </c>
      <c r="B599" s="19" t="s">
        <v>224</v>
      </c>
      <c r="C599" s="20" t="s">
        <v>1496</v>
      </c>
      <c r="D599" s="218" t="s">
        <v>1216</v>
      </c>
      <c r="E599" s="203" t="s">
        <v>2407</v>
      </c>
      <c r="F599" s="108">
        <f t="shared" si="102"/>
        <v>2851.0150000000003</v>
      </c>
      <c r="G599" s="106">
        <f t="shared" si="107"/>
        <v>366.53412000000003</v>
      </c>
      <c r="H599" s="106">
        <f t="shared" si="108"/>
        <v>2484.48088</v>
      </c>
      <c r="I599" s="107"/>
      <c r="J599" s="107"/>
      <c r="K599" s="107"/>
      <c r="L599" s="107"/>
      <c r="M599" s="107"/>
      <c r="N599" s="107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7">
        <v>98.5</v>
      </c>
      <c r="Z599" s="107">
        <v>212.9835</v>
      </c>
      <c r="AA599" s="159">
        <v>87.56447</v>
      </c>
      <c r="AB599" s="106">
        <v>42.38764</v>
      </c>
      <c r="AC599" s="107"/>
      <c r="AD599" s="107"/>
      <c r="AE599" s="107"/>
      <c r="AF599" s="107"/>
      <c r="AG599" s="107"/>
      <c r="AH599" s="107"/>
      <c r="AI599" s="107"/>
      <c r="AJ599" s="108">
        <v>291.49658999999997</v>
      </c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7"/>
      <c r="AV599" s="107"/>
      <c r="AW599" s="107"/>
      <c r="AX599" s="107"/>
      <c r="AY599" s="106"/>
      <c r="AZ599" s="107"/>
      <c r="BA599" s="107"/>
      <c r="BB599" s="107"/>
      <c r="BC599" s="107">
        <v>180.46965</v>
      </c>
      <c r="BD599" s="107">
        <v>176.98212</v>
      </c>
      <c r="BE599" s="107"/>
      <c r="BF599" s="107"/>
      <c r="BG599" s="107"/>
      <c r="BH599" s="107"/>
      <c r="BI599" s="107"/>
      <c r="BJ599" s="107">
        <v>1760.63103</v>
      </c>
      <c r="BK599" s="107"/>
      <c r="BL599" s="107"/>
      <c r="BM599" s="107"/>
      <c r="BN599" s="107"/>
      <c r="BO599" s="107"/>
      <c r="BP599" s="107"/>
      <c r="BQ599" s="109"/>
      <c r="BR599" s="109"/>
      <c r="BS599" s="109"/>
      <c r="BT599" s="109"/>
      <c r="BU599" s="138"/>
    </row>
    <row r="600" spans="1:73" ht="34.5" customHeight="1" outlineLevel="2">
      <c r="A600" s="24" t="s">
        <v>1051</v>
      </c>
      <c r="B600" s="37" t="s">
        <v>670</v>
      </c>
      <c r="C600" s="20" t="s">
        <v>1496</v>
      </c>
      <c r="D600" s="218" t="s">
        <v>671</v>
      </c>
      <c r="E600" s="203" t="s">
        <v>2405</v>
      </c>
      <c r="F600" s="108">
        <f t="shared" si="102"/>
        <v>817.0583899999999</v>
      </c>
      <c r="G600" s="106">
        <f t="shared" si="107"/>
        <v>431.94522</v>
      </c>
      <c r="H600" s="106">
        <f t="shared" si="108"/>
        <v>385.11316999999997</v>
      </c>
      <c r="I600" s="107"/>
      <c r="J600" s="107"/>
      <c r="K600" s="107">
        <v>142.91235</v>
      </c>
      <c r="L600" s="107">
        <v>25.06503</v>
      </c>
      <c r="M600" s="107"/>
      <c r="N600" s="107"/>
      <c r="O600" s="106"/>
      <c r="P600" s="106"/>
      <c r="Q600" s="106"/>
      <c r="R600" s="106"/>
      <c r="S600" s="106"/>
      <c r="T600" s="106"/>
      <c r="U600" s="106"/>
      <c r="V600" s="106"/>
      <c r="W600" s="106">
        <v>89.90264</v>
      </c>
      <c r="X600" s="106">
        <v>46.93547</v>
      </c>
      <c r="Y600" s="107">
        <v>7.6</v>
      </c>
      <c r="Z600" s="107">
        <v>19.965</v>
      </c>
      <c r="AA600" s="159">
        <v>90.78428</v>
      </c>
      <c r="AB600" s="106">
        <v>59.42193</v>
      </c>
      <c r="AC600" s="107"/>
      <c r="AD600" s="107"/>
      <c r="AE600" s="107"/>
      <c r="AF600" s="107"/>
      <c r="AG600" s="107"/>
      <c r="AH600" s="107"/>
      <c r="AI600" s="107"/>
      <c r="AJ600" s="108">
        <v>134.92579999999998</v>
      </c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7"/>
      <c r="AV600" s="107"/>
      <c r="AW600" s="107"/>
      <c r="AX600" s="107"/>
      <c r="AY600" s="106"/>
      <c r="AZ600" s="107"/>
      <c r="BA600" s="107"/>
      <c r="BB600" s="107"/>
      <c r="BC600" s="107">
        <v>100.74595</v>
      </c>
      <c r="BD600" s="107">
        <v>98.79994</v>
      </c>
      <c r="BE600" s="107"/>
      <c r="BF600" s="107"/>
      <c r="BG600" s="107"/>
      <c r="BH600" s="107"/>
      <c r="BI600" s="107"/>
      <c r="BJ600" s="107"/>
      <c r="BK600" s="107"/>
      <c r="BL600" s="107"/>
      <c r="BM600" s="107"/>
      <c r="BN600" s="107"/>
      <c r="BO600" s="107"/>
      <c r="BP600" s="107"/>
      <c r="BQ600" s="109"/>
      <c r="BR600" s="109"/>
      <c r="BS600" s="109"/>
      <c r="BT600" s="109"/>
      <c r="BU600" s="138"/>
    </row>
    <row r="601" spans="1:73" ht="39" customHeight="1" outlineLevel="2">
      <c r="A601" s="35" t="s">
        <v>1051</v>
      </c>
      <c r="B601" s="37" t="s">
        <v>1376</v>
      </c>
      <c r="C601" s="20" t="s">
        <v>1496</v>
      </c>
      <c r="D601" s="218" t="s">
        <v>1387</v>
      </c>
      <c r="E601" s="203" t="s">
        <v>2406</v>
      </c>
      <c r="F601" s="108">
        <f t="shared" si="102"/>
        <v>2823.8013200000005</v>
      </c>
      <c r="G601" s="106">
        <f t="shared" si="107"/>
        <v>348.65498</v>
      </c>
      <c r="H601" s="106">
        <f t="shared" si="108"/>
        <v>2475.1463400000002</v>
      </c>
      <c r="I601" s="107"/>
      <c r="J601" s="107"/>
      <c r="K601" s="107"/>
      <c r="L601" s="107"/>
      <c r="M601" s="107"/>
      <c r="N601" s="107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7"/>
      <c r="Z601" s="107"/>
      <c r="AA601" s="106">
        <v>112.51888</v>
      </c>
      <c r="AB601" s="106">
        <v>59.42193</v>
      </c>
      <c r="AC601" s="107"/>
      <c r="AD601" s="107"/>
      <c r="AE601" s="107"/>
      <c r="AF601" s="107"/>
      <c r="AG601" s="107"/>
      <c r="AH601" s="107"/>
      <c r="AI601" s="107"/>
      <c r="AJ601" s="108">
        <v>36.01608</v>
      </c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7"/>
      <c r="AV601" s="107"/>
      <c r="AW601" s="107"/>
      <c r="AX601" s="107"/>
      <c r="AY601" s="106"/>
      <c r="AZ601" s="107"/>
      <c r="BA601" s="107"/>
      <c r="BB601" s="107"/>
      <c r="BC601" s="107">
        <v>236.1361</v>
      </c>
      <c r="BD601" s="107">
        <v>231.56805</v>
      </c>
      <c r="BE601" s="107"/>
      <c r="BF601" s="107"/>
      <c r="BG601" s="107"/>
      <c r="BH601" s="107"/>
      <c r="BI601" s="107"/>
      <c r="BJ601" s="107">
        <v>2148.14028</v>
      </c>
      <c r="BK601" s="107"/>
      <c r="BL601" s="107"/>
      <c r="BM601" s="107"/>
      <c r="BN601" s="107"/>
      <c r="BO601" s="107"/>
      <c r="BP601" s="107"/>
      <c r="BQ601" s="109"/>
      <c r="BR601" s="109"/>
      <c r="BS601" s="109"/>
      <c r="BT601" s="109"/>
      <c r="BU601" s="138"/>
    </row>
    <row r="602" spans="1:73" ht="38.25" customHeight="1" outlineLevel="2">
      <c r="A602" s="24" t="s">
        <v>1051</v>
      </c>
      <c r="B602" s="19" t="s">
        <v>1041</v>
      </c>
      <c r="C602" s="20" t="s">
        <v>1496</v>
      </c>
      <c r="D602" s="218" t="s">
        <v>1088</v>
      </c>
      <c r="E602" s="203" t="s">
        <v>2400</v>
      </c>
      <c r="F602" s="108">
        <f t="shared" si="102"/>
        <v>7534.97501</v>
      </c>
      <c r="G602" s="106">
        <f t="shared" si="107"/>
        <v>1733.7706200000002</v>
      </c>
      <c r="H602" s="106">
        <f t="shared" si="108"/>
        <v>5801.20439</v>
      </c>
      <c r="I602" s="107"/>
      <c r="J602" s="107"/>
      <c r="K602" s="107"/>
      <c r="L602" s="107"/>
      <c r="M602" s="107">
        <v>237.23463</v>
      </c>
      <c r="N602" s="107"/>
      <c r="O602" s="106"/>
      <c r="P602" s="106"/>
      <c r="Q602" s="106"/>
      <c r="R602" s="106"/>
      <c r="S602" s="106">
        <v>187.93141</v>
      </c>
      <c r="T602" s="106">
        <v>93.96571</v>
      </c>
      <c r="U602" s="106"/>
      <c r="V602" s="106"/>
      <c r="W602" s="106">
        <v>774.39485</v>
      </c>
      <c r="X602" s="106">
        <v>404.28833</v>
      </c>
      <c r="Y602" s="107">
        <v>69.92</v>
      </c>
      <c r="Z602" s="107">
        <v>183.678</v>
      </c>
      <c r="AA602" s="159"/>
      <c r="AB602" s="106"/>
      <c r="AC602" s="107"/>
      <c r="AD602" s="107"/>
      <c r="AE602" s="107"/>
      <c r="AF602" s="107"/>
      <c r="AG602" s="107"/>
      <c r="AH602" s="107"/>
      <c r="AI602" s="107"/>
      <c r="AJ602" s="108">
        <v>1189.45655</v>
      </c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7"/>
      <c r="AV602" s="107"/>
      <c r="AW602" s="107"/>
      <c r="AX602" s="107"/>
      <c r="AY602" s="106"/>
      <c r="AZ602" s="107"/>
      <c r="BA602" s="107">
        <f>503.79152+363.41096</f>
        <v>867.2024799999999</v>
      </c>
      <c r="BB602" s="107"/>
      <c r="BC602" s="107">
        <v>701.52436</v>
      </c>
      <c r="BD602" s="107">
        <v>687.96211</v>
      </c>
      <c r="BE602" s="107"/>
      <c r="BF602" s="107"/>
      <c r="BG602" s="107"/>
      <c r="BH602" s="107"/>
      <c r="BI602" s="107"/>
      <c r="BJ602" s="107">
        <v>2137.41658</v>
      </c>
      <c r="BK602" s="107"/>
      <c r="BL602" s="107"/>
      <c r="BM602" s="107"/>
      <c r="BN602" s="107"/>
      <c r="BO602" s="107"/>
      <c r="BP602" s="107"/>
      <c r="BQ602" s="109"/>
      <c r="BR602" s="109"/>
      <c r="BS602" s="109"/>
      <c r="BT602" s="109"/>
      <c r="BU602" s="138"/>
    </row>
    <row r="603" spans="1:73" ht="34.5" customHeight="1" outlineLevel="2">
      <c r="A603" s="35" t="s">
        <v>1051</v>
      </c>
      <c r="B603" s="37" t="s">
        <v>4</v>
      </c>
      <c r="C603" s="20" t="s">
        <v>1496</v>
      </c>
      <c r="D603" s="218" t="s">
        <v>1497</v>
      </c>
      <c r="E603" s="203" t="s">
        <v>2397</v>
      </c>
      <c r="F603" s="108">
        <f t="shared" si="102"/>
        <v>8739.83583</v>
      </c>
      <c r="G603" s="106">
        <f t="shared" si="107"/>
        <v>3171.42583</v>
      </c>
      <c r="H603" s="106">
        <f t="shared" si="108"/>
        <v>5568.41</v>
      </c>
      <c r="I603" s="107"/>
      <c r="J603" s="107"/>
      <c r="K603" s="107">
        <v>2080.59029</v>
      </c>
      <c r="L603" s="107">
        <v>729.26477</v>
      </c>
      <c r="M603" s="107"/>
      <c r="N603" s="107"/>
      <c r="O603" s="106"/>
      <c r="P603" s="106"/>
      <c r="Q603" s="106"/>
      <c r="R603" s="106"/>
      <c r="S603" s="106">
        <v>30.10686</v>
      </c>
      <c r="T603" s="106">
        <v>7.52671</v>
      </c>
      <c r="U603" s="106">
        <v>64.04486</v>
      </c>
      <c r="V603" s="106">
        <v>5.96712</v>
      </c>
      <c r="W603" s="133"/>
      <c r="X603" s="133"/>
      <c r="Y603" s="107">
        <v>38</v>
      </c>
      <c r="Z603" s="107">
        <v>99.825</v>
      </c>
      <c r="AA603" s="159">
        <v>82.41383</v>
      </c>
      <c r="AB603" s="106">
        <v>55.46047</v>
      </c>
      <c r="AC603" s="107"/>
      <c r="AD603" s="107"/>
      <c r="AE603" s="107"/>
      <c r="AF603" s="107"/>
      <c r="AG603" s="107">
        <v>35.46</v>
      </c>
      <c r="AH603" s="107"/>
      <c r="AI603" s="107"/>
      <c r="AJ603" s="108">
        <v>807.8068</v>
      </c>
      <c r="AK603" s="107">
        <v>26.3529</v>
      </c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7"/>
      <c r="AV603" s="107"/>
      <c r="AW603" s="107"/>
      <c r="AX603" s="107"/>
      <c r="AY603" s="106">
        <v>549.79512</v>
      </c>
      <c r="AZ603" s="107"/>
      <c r="BA603" s="107"/>
      <c r="BB603" s="107"/>
      <c r="BC603" s="107">
        <v>876.26999</v>
      </c>
      <c r="BD603" s="107">
        <v>859.31398</v>
      </c>
      <c r="BE603" s="107"/>
      <c r="BF603" s="107"/>
      <c r="BG603" s="107"/>
      <c r="BH603" s="107"/>
      <c r="BI603" s="107"/>
      <c r="BJ603" s="107">
        <v>1904.00407</v>
      </c>
      <c r="BK603" s="107"/>
      <c r="BL603" s="107"/>
      <c r="BM603" s="107">
        <v>487.63306</v>
      </c>
      <c r="BN603" s="107"/>
      <c r="BO603" s="107"/>
      <c r="BP603" s="107"/>
      <c r="BQ603" s="109"/>
      <c r="BR603" s="109"/>
      <c r="BS603" s="109"/>
      <c r="BT603" s="109"/>
      <c r="BU603" s="138"/>
    </row>
    <row r="604" spans="1:73" ht="29.25" customHeight="1" outlineLevel="2">
      <c r="A604" s="35" t="s">
        <v>1051</v>
      </c>
      <c r="B604" s="37" t="s">
        <v>1303</v>
      </c>
      <c r="C604" s="20" t="s">
        <v>1496</v>
      </c>
      <c r="D604" s="218" t="s">
        <v>25</v>
      </c>
      <c r="E604" s="203" t="s">
        <v>2404</v>
      </c>
      <c r="F604" s="108">
        <f t="shared" si="102"/>
        <v>2096.80891</v>
      </c>
      <c r="G604" s="106">
        <f t="shared" si="107"/>
        <v>911.1161400000001</v>
      </c>
      <c r="H604" s="106">
        <f t="shared" si="108"/>
        <v>1185.69277</v>
      </c>
      <c r="I604" s="107"/>
      <c r="J604" s="107"/>
      <c r="K604" s="107"/>
      <c r="L604" s="107"/>
      <c r="M604" s="107"/>
      <c r="N604" s="107"/>
      <c r="O604" s="106"/>
      <c r="P604" s="106"/>
      <c r="Q604" s="106"/>
      <c r="R604" s="106"/>
      <c r="S604" s="106"/>
      <c r="T604" s="106"/>
      <c r="U604" s="106"/>
      <c r="V604" s="106"/>
      <c r="W604" s="106">
        <v>194.61427</v>
      </c>
      <c r="X604" s="106">
        <v>101.60229</v>
      </c>
      <c r="Y604" s="107"/>
      <c r="Z604" s="107"/>
      <c r="AA604" s="159">
        <v>420.50708</v>
      </c>
      <c r="AB604" s="106">
        <v>257.49502</v>
      </c>
      <c r="AC604" s="107"/>
      <c r="AD604" s="107"/>
      <c r="AE604" s="107"/>
      <c r="AF604" s="107"/>
      <c r="AG604" s="107"/>
      <c r="AH604" s="107"/>
      <c r="AI604" s="107"/>
      <c r="AJ604" s="108">
        <v>108.53434999999999</v>
      </c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7"/>
      <c r="AV604" s="107"/>
      <c r="AW604" s="107"/>
      <c r="AX604" s="107"/>
      <c r="AY604" s="106">
        <v>69.15653</v>
      </c>
      <c r="AZ604" s="107"/>
      <c r="BA604" s="107">
        <v>358.63905</v>
      </c>
      <c r="BB604" s="107"/>
      <c r="BC604" s="107">
        <v>295.99479</v>
      </c>
      <c r="BD604" s="107">
        <v>290.26553</v>
      </c>
      <c r="BE604" s="107"/>
      <c r="BF604" s="107"/>
      <c r="BG604" s="107"/>
      <c r="BH604" s="107"/>
      <c r="BI604" s="107"/>
      <c r="BJ604" s="107"/>
      <c r="BK604" s="107"/>
      <c r="BL604" s="107"/>
      <c r="BM604" s="107"/>
      <c r="BN604" s="107"/>
      <c r="BO604" s="107"/>
      <c r="BP604" s="107"/>
      <c r="BQ604" s="109"/>
      <c r="BR604" s="109"/>
      <c r="BS604" s="109"/>
      <c r="BT604" s="109"/>
      <c r="BU604" s="138"/>
    </row>
    <row r="605" spans="1:73" ht="39.75" customHeight="1" outlineLevel="2">
      <c r="A605" s="35" t="s">
        <v>1051</v>
      </c>
      <c r="B605" s="37" t="s">
        <v>1089</v>
      </c>
      <c r="C605" s="20" t="s">
        <v>1496</v>
      </c>
      <c r="D605" s="218" t="s">
        <v>1090</v>
      </c>
      <c r="E605" s="203" t="s">
        <v>2402</v>
      </c>
      <c r="F605" s="108">
        <f t="shared" si="102"/>
        <v>15178.984960000002</v>
      </c>
      <c r="G605" s="106">
        <f t="shared" si="107"/>
        <v>5708.72822</v>
      </c>
      <c r="H605" s="106">
        <f t="shared" si="108"/>
        <v>9470.25674</v>
      </c>
      <c r="I605" s="107"/>
      <c r="J605" s="107"/>
      <c r="K605" s="107">
        <v>345.19695</v>
      </c>
      <c r="L605" s="107">
        <v>68.68416</v>
      </c>
      <c r="M605" s="107"/>
      <c r="N605" s="107"/>
      <c r="O605" s="106"/>
      <c r="P605" s="106"/>
      <c r="Q605" s="106"/>
      <c r="R605" s="106"/>
      <c r="S605" s="106"/>
      <c r="T605" s="106"/>
      <c r="U605" s="106"/>
      <c r="V605" s="106"/>
      <c r="W605" s="106">
        <v>1618.08205</v>
      </c>
      <c r="X605" s="106">
        <v>844.75211</v>
      </c>
      <c r="Y605" s="107">
        <v>200.3522</v>
      </c>
      <c r="Z605" s="107">
        <v>177.6396</v>
      </c>
      <c r="AA605" s="159">
        <v>1428.46605</v>
      </c>
      <c r="AB605" s="106">
        <v>598.18073</v>
      </c>
      <c r="AC605" s="107"/>
      <c r="AD605" s="107"/>
      <c r="AE605" s="107"/>
      <c r="AF605" s="107"/>
      <c r="AG605" s="107"/>
      <c r="AH605" s="107"/>
      <c r="AI605" s="107"/>
      <c r="AJ605" s="108">
        <v>1201.10432</v>
      </c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7"/>
      <c r="AV605" s="107">
        <v>1530.88</v>
      </c>
      <c r="AW605" s="107"/>
      <c r="AX605" s="107"/>
      <c r="AY605" s="106"/>
      <c r="AZ605" s="107"/>
      <c r="BA605" s="107"/>
      <c r="BB605" s="107"/>
      <c r="BC605" s="107">
        <v>2116.63097</v>
      </c>
      <c r="BD605" s="107">
        <v>2075.64505</v>
      </c>
      <c r="BE605" s="107"/>
      <c r="BF605" s="107"/>
      <c r="BG605" s="107"/>
      <c r="BH605" s="107"/>
      <c r="BI605" s="107"/>
      <c r="BJ605" s="107">
        <v>2960.02457</v>
      </c>
      <c r="BK605" s="107"/>
      <c r="BL605" s="107"/>
      <c r="BM605" s="107">
        <v>13.3462</v>
      </c>
      <c r="BN605" s="107"/>
      <c r="BO605" s="107"/>
      <c r="BP605" s="107"/>
      <c r="BQ605" s="109"/>
      <c r="BR605" s="109"/>
      <c r="BS605" s="109"/>
      <c r="BT605" s="109"/>
      <c r="BU605" s="138"/>
    </row>
    <row r="606" spans="1:73" ht="32.25" customHeight="1" outlineLevel="2">
      <c r="A606" s="24" t="s">
        <v>1051</v>
      </c>
      <c r="B606" s="19" t="s">
        <v>733</v>
      </c>
      <c r="C606" s="20" t="s">
        <v>1496</v>
      </c>
      <c r="D606" s="209" t="s">
        <v>163</v>
      </c>
      <c r="E606" s="203" t="s">
        <v>2394</v>
      </c>
      <c r="F606" s="108">
        <f t="shared" si="102"/>
        <v>332.67154</v>
      </c>
      <c r="G606" s="106">
        <f t="shared" si="107"/>
        <v>141.37009</v>
      </c>
      <c r="H606" s="106">
        <f t="shared" si="108"/>
        <v>191.30145</v>
      </c>
      <c r="I606" s="107"/>
      <c r="J606" s="107"/>
      <c r="K606" s="107"/>
      <c r="L606" s="107"/>
      <c r="M606" s="107"/>
      <c r="N606" s="107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7"/>
      <c r="Z606" s="107"/>
      <c r="AA606" s="106"/>
      <c r="AB606" s="106"/>
      <c r="AC606" s="107"/>
      <c r="AD606" s="107"/>
      <c r="AE606" s="107"/>
      <c r="AF606" s="107"/>
      <c r="AG606" s="107"/>
      <c r="AH606" s="107"/>
      <c r="AI606" s="107"/>
      <c r="AJ606" s="108">
        <v>52.67424</v>
      </c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7"/>
      <c r="AV606" s="107"/>
      <c r="AW606" s="107"/>
      <c r="AX606" s="107"/>
      <c r="AY606" s="106"/>
      <c r="AZ606" s="107"/>
      <c r="BA606" s="107"/>
      <c r="BB606" s="107"/>
      <c r="BC606" s="107">
        <v>141.37009</v>
      </c>
      <c r="BD606" s="107">
        <v>138.62721</v>
      </c>
      <c r="BE606" s="107"/>
      <c r="BF606" s="107"/>
      <c r="BG606" s="107"/>
      <c r="BH606" s="107"/>
      <c r="BI606" s="107"/>
      <c r="BJ606" s="107"/>
      <c r="BK606" s="107"/>
      <c r="BL606" s="107"/>
      <c r="BM606" s="107"/>
      <c r="BN606" s="107"/>
      <c r="BO606" s="107"/>
      <c r="BP606" s="107"/>
      <c r="BQ606" s="109"/>
      <c r="BR606" s="109"/>
      <c r="BS606" s="109"/>
      <c r="BT606" s="109"/>
      <c r="BU606" s="138"/>
    </row>
    <row r="607" spans="1:73" ht="34.5" customHeight="1" outlineLevel="2">
      <c r="A607" s="24" t="s">
        <v>1051</v>
      </c>
      <c r="B607" s="19" t="s">
        <v>154</v>
      </c>
      <c r="C607" s="20" t="s">
        <v>1496</v>
      </c>
      <c r="D607" s="218" t="s">
        <v>1701</v>
      </c>
      <c r="E607" s="203" t="s">
        <v>2399</v>
      </c>
      <c r="F607" s="108">
        <f t="shared" si="102"/>
        <v>575.9166600000001</v>
      </c>
      <c r="G607" s="106">
        <f t="shared" si="107"/>
        <v>281.66199</v>
      </c>
      <c r="H607" s="106">
        <f t="shared" si="108"/>
        <v>294.25467000000003</v>
      </c>
      <c r="I607" s="107"/>
      <c r="J607" s="107"/>
      <c r="K607" s="107"/>
      <c r="L607" s="107"/>
      <c r="M607" s="107">
        <v>2.20653</v>
      </c>
      <c r="N607" s="107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7"/>
      <c r="Z607" s="107"/>
      <c r="AA607" s="159">
        <v>103.279</v>
      </c>
      <c r="AB607" s="106">
        <v>97.05581</v>
      </c>
      <c r="AC607" s="107"/>
      <c r="AD607" s="107"/>
      <c r="AE607" s="107"/>
      <c r="AF607" s="107"/>
      <c r="AG607" s="107"/>
      <c r="AH607" s="107"/>
      <c r="AI607" s="107"/>
      <c r="AJ607" s="108">
        <v>20.06</v>
      </c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7"/>
      <c r="AV607" s="107"/>
      <c r="AW607" s="107"/>
      <c r="AX607" s="107"/>
      <c r="AY607" s="106"/>
      <c r="AZ607" s="107"/>
      <c r="BA607" s="107"/>
      <c r="BB607" s="107"/>
      <c r="BC607" s="107">
        <v>178.38299</v>
      </c>
      <c r="BD607" s="107">
        <v>174.93233</v>
      </c>
      <c r="BE607" s="107"/>
      <c r="BF607" s="107"/>
      <c r="BG607" s="107"/>
      <c r="BH607" s="107"/>
      <c r="BI607" s="107"/>
      <c r="BJ607" s="107"/>
      <c r="BK607" s="107"/>
      <c r="BL607" s="107"/>
      <c r="BM607" s="107"/>
      <c r="BN607" s="107"/>
      <c r="BO607" s="107"/>
      <c r="BP607" s="107"/>
      <c r="BQ607" s="109"/>
      <c r="BR607" s="109"/>
      <c r="BS607" s="109"/>
      <c r="BT607" s="109"/>
      <c r="BU607" s="138"/>
    </row>
    <row r="608" spans="1:73" ht="38.25" customHeight="1" outlineLevel="2">
      <c r="A608" s="24" t="s">
        <v>1051</v>
      </c>
      <c r="B608" s="19" t="s">
        <v>1085</v>
      </c>
      <c r="C608" s="20" t="s">
        <v>1496</v>
      </c>
      <c r="D608" s="218" t="s">
        <v>1086</v>
      </c>
      <c r="E608" s="203" t="s">
        <v>2398</v>
      </c>
      <c r="F608" s="108">
        <f t="shared" si="102"/>
        <v>4923.36838</v>
      </c>
      <c r="G608" s="106">
        <f t="shared" si="107"/>
        <v>2401.95143</v>
      </c>
      <c r="H608" s="106">
        <f t="shared" si="108"/>
        <v>2521.4169500000003</v>
      </c>
      <c r="I608" s="107"/>
      <c r="J608" s="107"/>
      <c r="K608" s="107">
        <v>786.5265</v>
      </c>
      <c r="L608" s="107">
        <v>244.54001</v>
      </c>
      <c r="M608" s="107"/>
      <c r="N608" s="107"/>
      <c r="O608" s="106"/>
      <c r="P608" s="106"/>
      <c r="Q608" s="106">
        <v>245.41646</v>
      </c>
      <c r="R608" s="106"/>
      <c r="S608" s="106">
        <v>313.28527</v>
      </c>
      <c r="T608" s="106">
        <v>94.93492</v>
      </c>
      <c r="U608" s="106"/>
      <c r="V608" s="106"/>
      <c r="W608" s="106"/>
      <c r="X608" s="106"/>
      <c r="Y608" s="107"/>
      <c r="Z608" s="107"/>
      <c r="AA608" s="159">
        <v>308.52321</v>
      </c>
      <c r="AB608" s="106">
        <v>237.68771</v>
      </c>
      <c r="AC608" s="107"/>
      <c r="AD608" s="107"/>
      <c r="AE608" s="107"/>
      <c r="AF608" s="107"/>
      <c r="AG608" s="107">
        <v>68.2605</v>
      </c>
      <c r="AH608" s="107"/>
      <c r="AI608" s="107"/>
      <c r="AJ608" s="108">
        <v>258.88275999999996</v>
      </c>
      <c r="AK608" s="107">
        <v>21.6153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7"/>
      <c r="AV608" s="107"/>
      <c r="AW608" s="107"/>
      <c r="AX608" s="107">
        <v>268.08</v>
      </c>
      <c r="AY608" s="106">
        <v>638.58702</v>
      </c>
      <c r="AZ608" s="107"/>
      <c r="BA608" s="107"/>
      <c r="BB608" s="107"/>
      <c r="BC608" s="107">
        <v>725.53645</v>
      </c>
      <c r="BD608" s="107">
        <v>711.49227</v>
      </c>
      <c r="BE608" s="107"/>
      <c r="BF608" s="107"/>
      <c r="BG608" s="107"/>
      <c r="BH608" s="107"/>
      <c r="BI608" s="107"/>
      <c r="BJ608" s="107"/>
      <c r="BK608" s="107"/>
      <c r="BL608" s="107"/>
      <c r="BM608" s="107"/>
      <c r="BN608" s="107"/>
      <c r="BO608" s="107"/>
      <c r="BP608" s="107"/>
      <c r="BQ608" s="109"/>
      <c r="BR608" s="109"/>
      <c r="BS608" s="109"/>
      <c r="BT608" s="109"/>
      <c r="BU608" s="138"/>
    </row>
    <row r="609" spans="1:73" ht="34.5" customHeight="1" outlineLevel="2">
      <c r="A609" s="35" t="s">
        <v>1051</v>
      </c>
      <c r="B609" s="37" t="s">
        <v>675</v>
      </c>
      <c r="C609" s="20" t="s">
        <v>1496</v>
      </c>
      <c r="D609" s="218" t="s">
        <v>1087</v>
      </c>
      <c r="E609" s="203" t="s">
        <v>2403</v>
      </c>
      <c r="F609" s="108">
        <f t="shared" si="102"/>
        <v>2074.76039</v>
      </c>
      <c r="G609" s="106">
        <f t="shared" si="107"/>
        <v>540.76297</v>
      </c>
      <c r="H609" s="106">
        <f t="shared" si="108"/>
        <v>1533.99742</v>
      </c>
      <c r="I609" s="107"/>
      <c r="J609" s="107"/>
      <c r="K609" s="107"/>
      <c r="L609" s="107"/>
      <c r="M609" s="107"/>
      <c r="N609" s="107"/>
      <c r="O609" s="106"/>
      <c r="P609" s="106"/>
      <c r="Q609" s="106"/>
      <c r="R609" s="106"/>
      <c r="S609" s="106"/>
      <c r="T609" s="106"/>
      <c r="U609" s="106"/>
      <c r="V609" s="106"/>
      <c r="W609" s="106">
        <v>115.95594</v>
      </c>
      <c r="X609" s="106">
        <v>60.53712</v>
      </c>
      <c r="Y609" s="107"/>
      <c r="Z609" s="107"/>
      <c r="AA609" s="159">
        <v>159.74903</v>
      </c>
      <c r="AB609" s="106">
        <v>99.03655</v>
      </c>
      <c r="AC609" s="107"/>
      <c r="AD609" s="107"/>
      <c r="AE609" s="107"/>
      <c r="AF609" s="107"/>
      <c r="AG609" s="107">
        <v>102.3612</v>
      </c>
      <c r="AH609" s="107"/>
      <c r="AI609" s="107"/>
      <c r="AJ609" s="108">
        <v>0</v>
      </c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7"/>
      <c r="AV609" s="107"/>
      <c r="AW609" s="107"/>
      <c r="AX609" s="107"/>
      <c r="AY609" s="106"/>
      <c r="AZ609" s="107"/>
      <c r="BA609" s="107">
        <v>944.73775</v>
      </c>
      <c r="BB609" s="107"/>
      <c r="BC609" s="107">
        <v>265.058</v>
      </c>
      <c r="BD609" s="107">
        <v>259.91185</v>
      </c>
      <c r="BE609" s="107"/>
      <c r="BF609" s="107"/>
      <c r="BG609" s="107"/>
      <c r="BH609" s="107"/>
      <c r="BI609" s="107"/>
      <c r="BJ609" s="107">
        <v>67.41295</v>
      </c>
      <c r="BK609" s="107"/>
      <c r="BL609" s="107"/>
      <c r="BM609" s="107"/>
      <c r="BN609" s="107"/>
      <c r="BO609" s="107"/>
      <c r="BP609" s="107"/>
      <c r="BQ609" s="109"/>
      <c r="BR609" s="109"/>
      <c r="BS609" s="109"/>
      <c r="BT609" s="109"/>
      <c r="BU609" s="138"/>
    </row>
    <row r="610" spans="1:73" ht="38.25" customHeight="1" outlineLevel="2">
      <c r="A610" s="35" t="s">
        <v>1051</v>
      </c>
      <c r="B610" s="19" t="s">
        <v>1768</v>
      </c>
      <c r="C610" s="20" t="s">
        <v>587</v>
      </c>
      <c r="D610" s="218" t="s">
        <v>1806</v>
      </c>
      <c r="E610" s="220" t="s">
        <v>2409</v>
      </c>
      <c r="F610" s="108">
        <f t="shared" si="102"/>
        <v>1496</v>
      </c>
      <c r="G610" s="106">
        <f t="shared" si="107"/>
        <v>1496</v>
      </c>
      <c r="H610" s="106">
        <f t="shared" si="108"/>
        <v>0</v>
      </c>
      <c r="I610" s="107"/>
      <c r="J610" s="107"/>
      <c r="K610" s="107"/>
      <c r="L610" s="107"/>
      <c r="M610" s="107"/>
      <c r="N610" s="107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7"/>
      <c r="Z610" s="107"/>
      <c r="AA610" s="159"/>
      <c r="AB610" s="106"/>
      <c r="AC610" s="107"/>
      <c r="AD610" s="107"/>
      <c r="AE610" s="107"/>
      <c r="AF610" s="107"/>
      <c r="AG610" s="107"/>
      <c r="AH610" s="107"/>
      <c r="AI610" s="107"/>
      <c r="AJ610" s="108">
        <v>0</v>
      </c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7"/>
      <c r="AV610" s="107"/>
      <c r="AW610" s="107"/>
      <c r="AX610" s="107"/>
      <c r="AY610" s="106"/>
      <c r="AZ610" s="107"/>
      <c r="BA610" s="107"/>
      <c r="BB610" s="107"/>
      <c r="BC610" s="107"/>
      <c r="BD610" s="107"/>
      <c r="BE610" s="107"/>
      <c r="BF610" s="107"/>
      <c r="BG610" s="107"/>
      <c r="BH610" s="107"/>
      <c r="BI610" s="107"/>
      <c r="BJ610" s="107"/>
      <c r="BK610" s="107"/>
      <c r="BL610" s="107"/>
      <c r="BM610" s="107"/>
      <c r="BN610" s="107"/>
      <c r="BO610" s="107"/>
      <c r="BP610" s="107"/>
      <c r="BQ610" s="109"/>
      <c r="BR610" s="109">
        <v>1496</v>
      </c>
      <c r="BS610" s="109"/>
      <c r="BT610" s="109"/>
      <c r="BU610" s="138"/>
    </row>
    <row r="611" spans="1:73" ht="38.25" customHeight="1" outlineLevel="2">
      <c r="A611" s="35" t="s">
        <v>1051</v>
      </c>
      <c r="B611" s="19" t="s">
        <v>1767</v>
      </c>
      <c r="C611" s="20" t="s">
        <v>587</v>
      </c>
      <c r="D611" s="251" t="s">
        <v>1807</v>
      </c>
      <c r="E611" s="252" t="s">
        <v>2410</v>
      </c>
      <c r="F611" s="108">
        <f t="shared" si="102"/>
        <v>1402.31</v>
      </c>
      <c r="G611" s="106">
        <f t="shared" si="107"/>
        <v>1402.31</v>
      </c>
      <c r="H611" s="106">
        <f t="shared" si="108"/>
        <v>0</v>
      </c>
      <c r="I611" s="107"/>
      <c r="J611" s="107"/>
      <c r="K611" s="107"/>
      <c r="L611" s="107"/>
      <c r="M611" s="107"/>
      <c r="N611" s="107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7"/>
      <c r="Z611" s="107"/>
      <c r="AA611" s="106"/>
      <c r="AB611" s="106"/>
      <c r="AC611" s="107"/>
      <c r="AD611" s="107"/>
      <c r="AE611" s="107"/>
      <c r="AF611" s="107"/>
      <c r="AG611" s="107"/>
      <c r="AH611" s="107"/>
      <c r="AI611" s="107"/>
      <c r="AJ611" s="108">
        <v>0</v>
      </c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7"/>
      <c r="AV611" s="107"/>
      <c r="AW611" s="107"/>
      <c r="AX611" s="107"/>
      <c r="AY611" s="106"/>
      <c r="AZ611" s="107"/>
      <c r="BA611" s="107"/>
      <c r="BB611" s="107"/>
      <c r="BC611" s="107"/>
      <c r="BD611" s="107"/>
      <c r="BE611" s="107"/>
      <c r="BF611" s="107"/>
      <c r="BG611" s="107"/>
      <c r="BH611" s="107"/>
      <c r="BI611" s="107"/>
      <c r="BJ611" s="107"/>
      <c r="BK611" s="107"/>
      <c r="BL611" s="107"/>
      <c r="BM611" s="107"/>
      <c r="BN611" s="107"/>
      <c r="BO611" s="107"/>
      <c r="BP611" s="107"/>
      <c r="BQ611" s="109"/>
      <c r="BR611" s="109">
        <v>1402.31</v>
      </c>
      <c r="BS611" s="109"/>
      <c r="BT611" s="109"/>
      <c r="BU611" s="138"/>
    </row>
    <row r="612" spans="1:73" ht="38.25" customHeight="1" outlineLevel="2">
      <c r="A612" s="35" t="s">
        <v>1051</v>
      </c>
      <c r="B612" s="19" t="s">
        <v>1764</v>
      </c>
      <c r="C612" s="20" t="s">
        <v>587</v>
      </c>
      <c r="D612" s="218" t="s">
        <v>1808</v>
      </c>
      <c r="E612" s="243" t="s">
        <v>2411</v>
      </c>
      <c r="F612" s="108">
        <f t="shared" si="102"/>
        <v>1466.28</v>
      </c>
      <c r="G612" s="106">
        <f t="shared" si="107"/>
        <v>1353.78</v>
      </c>
      <c r="H612" s="106">
        <f t="shared" si="108"/>
        <v>112.5</v>
      </c>
      <c r="I612" s="107"/>
      <c r="J612" s="107"/>
      <c r="K612" s="107"/>
      <c r="L612" s="107"/>
      <c r="M612" s="107"/>
      <c r="N612" s="107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7"/>
      <c r="Z612" s="107"/>
      <c r="AA612" s="106"/>
      <c r="AB612" s="106"/>
      <c r="AC612" s="107"/>
      <c r="AD612" s="107"/>
      <c r="AE612" s="107"/>
      <c r="AF612" s="107"/>
      <c r="AG612" s="107"/>
      <c r="AH612" s="107"/>
      <c r="AI612" s="107"/>
      <c r="AJ612" s="108">
        <v>0</v>
      </c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7"/>
      <c r="AV612" s="107"/>
      <c r="AW612" s="107"/>
      <c r="AX612" s="107"/>
      <c r="AY612" s="106"/>
      <c r="AZ612" s="107"/>
      <c r="BA612" s="107"/>
      <c r="BB612" s="107"/>
      <c r="BC612" s="107"/>
      <c r="BD612" s="107"/>
      <c r="BE612" s="107"/>
      <c r="BF612" s="107"/>
      <c r="BG612" s="107"/>
      <c r="BH612" s="107"/>
      <c r="BI612" s="107"/>
      <c r="BJ612" s="107"/>
      <c r="BK612" s="107"/>
      <c r="BL612" s="107"/>
      <c r="BM612" s="107"/>
      <c r="BN612" s="107"/>
      <c r="BO612" s="107"/>
      <c r="BP612" s="107"/>
      <c r="BQ612" s="109">
        <v>112.5</v>
      </c>
      <c r="BR612" s="109">
        <v>1353.78</v>
      </c>
      <c r="BS612" s="109"/>
      <c r="BT612" s="109"/>
      <c r="BU612" s="138"/>
    </row>
    <row r="613" spans="1:73" ht="38.25" customHeight="1" outlineLevel="2">
      <c r="A613" s="24" t="s">
        <v>1051</v>
      </c>
      <c r="B613" s="19" t="s">
        <v>562</v>
      </c>
      <c r="C613" s="20" t="s">
        <v>587</v>
      </c>
      <c r="D613" s="209" t="s">
        <v>1277</v>
      </c>
      <c r="E613" s="210" t="s">
        <v>2412</v>
      </c>
      <c r="F613" s="108">
        <f t="shared" si="102"/>
        <v>1228.71189</v>
      </c>
      <c r="G613" s="106">
        <f t="shared" si="107"/>
        <v>291.71544</v>
      </c>
      <c r="H613" s="106">
        <f t="shared" si="108"/>
        <v>936.99645</v>
      </c>
      <c r="I613" s="107"/>
      <c r="J613" s="107"/>
      <c r="K613" s="107"/>
      <c r="L613" s="107"/>
      <c r="M613" s="107"/>
      <c r="N613" s="107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7"/>
      <c r="Z613" s="107"/>
      <c r="AA613" s="159">
        <v>59.5338</v>
      </c>
      <c r="AB613" s="106">
        <v>49.51827</v>
      </c>
      <c r="AC613" s="107"/>
      <c r="AD613" s="107"/>
      <c r="AE613" s="107"/>
      <c r="AF613" s="107"/>
      <c r="AG613" s="107"/>
      <c r="AH613" s="107"/>
      <c r="AI613" s="107"/>
      <c r="AJ613" s="108">
        <v>0</v>
      </c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7"/>
      <c r="AV613" s="107"/>
      <c r="AW613" s="107"/>
      <c r="AX613" s="107"/>
      <c r="AY613" s="106"/>
      <c r="AZ613" s="107"/>
      <c r="BA613" s="107"/>
      <c r="BB613" s="107"/>
      <c r="BC613" s="107">
        <v>232.18164</v>
      </c>
      <c r="BD613" s="107">
        <v>227.68918</v>
      </c>
      <c r="BE613" s="107"/>
      <c r="BF613" s="107"/>
      <c r="BG613" s="107"/>
      <c r="BH613" s="107"/>
      <c r="BI613" s="107"/>
      <c r="BJ613" s="107">
        <v>659.789</v>
      </c>
      <c r="BK613" s="107"/>
      <c r="BL613" s="107"/>
      <c r="BM613" s="107"/>
      <c r="BN613" s="107"/>
      <c r="BO613" s="107"/>
      <c r="BP613" s="107"/>
      <c r="BQ613" s="109"/>
      <c r="BR613" s="109"/>
      <c r="BS613" s="109"/>
      <c r="BT613" s="109"/>
      <c r="BU613" s="138"/>
    </row>
    <row r="614" spans="1:73" ht="38.25" customHeight="1" outlineLevel="2">
      <c r="A614" s="24" t="s">
        <v>1051</v>
      </c>
      <c r="B614" s="19" t="s">
        <v>563</v>
      </c>
      <c r="C614" s="20" t="s">
        <v>587</v>
      </c>
      <c r="D614" s="209" t="s">
        <v>351</v>
      </c>
      <c r="E614" s="210" t="s">
        <v>2413</v>
      </c>
      <c r="F614" s="108">
        <f t="shared" si="102"/>
        <v>107.68778</v>
      </c>
      <c r="G614" s="106">
        <f t="shared" si="107"/>
        <v>54.80927</v>
      </c>
      <c r="H614" s="106">
        <f t="shared" si="108"/>
        <v>52.87851</v>
      </c>
      <c r="I614" s="107"/>
      <c r="J614" s="107"/>
      <c r="K614" s="107"/>
      <c r="L614" s="107"/>
      <c r="M614" s="107"/>
      <c r="N614" s="107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7"/>
      <c r="Z614" s="107"/>
      <c r="AA614" s="159">
        <v>21.08687</v>
      </c>
      <c r="AB614" s="106">
        <v>19.80731</v>
      </c>
      <c r="AC614" s="107"/>
      <c r="AD614" s="107"/>
      <c r="AE614" s="107"/>
      <c r="AF614" s="107"/>
      <c r="AG614" s="107"/>
      <c r="AH614" s="107"/>
      <c r="AI614" s="107"/>
      <c r="AJ614" s="108">
        <v>0</v>
      </c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7"/>
      <c r="AV614" s="107"/>
      <c r="AW614" s="107"/>
      <c r="AX614" s="107"/>
      <c r="AY614" s="106"/>
      <c r="AZ614" s="107"/>
      <c r="BA614" s="107"/>
      <c r="BB614" s="107"/>
      <c r="BC614" s="107">
        <v>33.7224</v>
      </c>
      <c r="BD614" s="107">
        <v>33.0712</v>
      </c>
      <c r="BE614" s="107"/>
      <c r="BF614" s="107"/>
      <c r="BG614" s="107"/>
      <c r="BH614" s="107"/>
      <c r="BI614" s="107"/>
      <c r="BJ614" s="107"/>
      <c r="BK614" s="107"/>
      <c r="BL614" s="107"/>
      <c r="BM614" s="107"/>
      <c r="BN614" s="107"/>
      <c r="BO614" s="107"/>
      <c r="BP614" s="107"/>
      <c r="BQ614" s="109"/>
      <c r="BR614" s="109"/>
      <c r="BS614" s="109"/>
      <c r="BT614" s="109"/>
      <c r="BU614" s="138"/>
    </row>
    <row r="615" spans="1:73" ht="38.25" customHeight="1" outlineLevel="2">
      <c r="A615" s="24" t="s">
        <v>1051</v>
      </c>
      <c r="B615" s="19" t="s">
        <v>1626</v>
      </c>
      <c r="C615" s="20" t="s">
        <v>587</v>
      </c>
      <c r="D615" s="209" t="s">
        <v>1675</v>
      </c>
      <c r="E615" s="210" t="s">
        <v>2414</v>
      </c>
      <c r="F615" s="108">
        <f t="shared" si="102"/>
        <v>271.25593000000003</v>
      </c>
      <c r="G615" s="106">
        <f t="shared" si="107"/>
        <v>135.63458</v>
      </c>
      <c r="H615" s="106">
        <f t="shared" si="108"/>
        <v>135.62135</v>
      </c>
      <c r="I615" s="107"/>
      <c r="J615" s="107"/>
      <c r="K615" s="107"/>
      <c r="L615" s="107"/>
      <c r="M615" s="107"/>
      <c r="N615" s="107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7"/>
      <c r="Z615" s="107"/>
      <c r="AA615" s="159"/>
      <c r="AB615" s="106"/>
      <c r="AC615" s="107"/>
      <c r="AD615" s="107"/>
      <c r="AE615" s="107"/>
      <c r="AF615" s="107"/>
      <c r="AG615" s="107"/>
      <c r="AH615" s="107"/>
      <c r="AI615" s="107"/>
      <c r="AJ615" s="108">
        <v>0</v>
      </c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7"/>
      <c r="AV615" s="107"/>
      <c r="AW615" s="107"/>
      <c r="AX615" s="107"/>
      <c r="AY615" s="106"/>
      <c r="AZ615" s="107"/>
      <c r="BA615" s="107"/>
      <c r="BB615" s="107"/>
      <c r="BC615" s="107">
        <v>135.63458</v>
      </c>
      <c r="BD615" s="107">
        <v>135.62135</v>
      </c>
      <c r="BE615" s="107"/>
      <c r="BF615" s="107"/>
      <c r="BG615" s="107"/>
      <c r="BH615" s="107"/>
      <c r="BI615" s="107"/>
      <c r="BJ615" s="107"/>
      <c r="BK615" s="107"/>
      <c r="BL615" s="107"/>
      <c r="BM615" s="107"/>
      <c r="BN615" s="107"/>
      <c r="BO615" s="107"/>
      <c r="BP615" s="107"/>
      <c r="BQ615" s="109"/>
      <c r="BR615" s="109"/>
      <c r="BS615" s="109"/>
      <c r="BT615" s="109"/>
      <c r="BU615" s="138"/>
    </row>
    <row r="616" spans="1:73" ht="38.25" customHeight="1" outlineLevel="2">
      <c r="A616" s="35" t="s">
        <v>1051</v>
      </c>
      <c r="B616" s="19" t="s">
        <v>1417</v>
      </c>
      <c r="C616" s="20" t="s">
        <v>587</v>
      </c>
      <c r="D616" s="218" t="s">
        <v>2418</v>
      </c>
      <c r="E616" s="220" t="s">
        <v>2415</v>
      </c>
      <c r="F616" s="108">
        <f t="shared" si="102"/>
        <v>124.2941</v>
      </c>
      <c r="G616" s="106">
        <f t="shared" si="107"/>
        <v>0</v>
      </c>
      <c r="H616" s="106">
        <f t="shared" si="108"/>
        <v>124.2941</v>
      </c>
      <c r="I616" s="107"/>
      <c r="J616" s="107"/>
      <c r="K616" s="107"/>
      <c r="L616" s="107"/>
      <c r="M616" s="107"/>
      <c r="N616" s="107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7"/>
      <c r="Z616" s="107"/>
      <c r="AA616" s="106"/>
      <c r="AB616" s="106"/>
      <c r="AC616" s="107"/>
      <c r="AD616" s="107"/>
      <c r="AE616" s="107"/>
      <c r="AF616" s="107"/>
      <c r="AG616" s="107"/>
      <c r="AH616" s="107"/>
      <c r="AI616" s="107"/>
      <c r="AJ616" s="108">
        <v>0</v>
      </c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7"/>
      <c r="AV616" s="107"/>
      <c r="AW616" s="107"/>
      <c r="AX616" s="107"/>
      <c r="AY616" s="106"/>
      <c r="AZ616" s="107"/>
      <c r="BA616" s="107"/>
      <c r="BB616" s="107"/>
      <c r="BC616" s="107"/>
      <c r="BD616" s="107"/>
      <c r="BE616" s="107"/>
      <c r="BF616" s="107"/>
      <c r="BG616" s="107"/>
      <c r="BH616" s="107"/>
      <c r="BI616" s="107"/>
      <c r="BJ616" s="107"/>
      <c r="BK616" s="107"/>
      <c r="BL616" s="107"/>
      <c r="BM616" s="107">
        <v>124.2941</v>
      </c>
      <c r="BN616" s="107"/>
      <c r="BO616" s="107"/>
      <c r="BP616" s="107"/>
      <c r="BQ616" s="109"/>
      <c r="BR616" s="109"/>
      <c r="BS616" s="109"/>
      <c r="BT616" s="109"/>
      <c r="BU616" s="138"/>
    </row>
    <row r="617" spans="1:73" ht="38.25" customHeight="1" outlineLevel="2">
      <c r="A617" s="35" t="s">
        <v>1051</v>
      </c>
      <c r="B617" s="19" t="s">
        <v>1418</v>
      </c>
      <c r="C617" s="20" t="s">
        <v>587</v>
      </c>
      <c r="D617" s="265" t="s">
        <v>1567</v>
      </c>
      <c r="E617" s="266" t="s">
        <v>2416</v>
      </c>
      <c r="F617" s="108">
        <f t="shared" si="102"/>
        <v>120.15796</v>
      </c>
      <c r="G617" s="106">
        <f t="shared" si="107"/>
        <v>38.41089</v>
      </c>
      <c r="H617" s="106">
        <f t="shared" si="108"/>
        <v>81.74707000000001</v>
      </c>
      <c r="I617" s="107"/>
      <c r="J617" s="107"/>
      <c r="K617" s="107"/>
      <c r="L617" s="107"/>
      <c r="M617" s="107"/>
      <c r="N617" s="107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7"/>
      <c r="Z617" s="107"/>
      <c r="AA617" s="106"/>
      <c r="AB617" s="106"/>
      <c r="AC617" s="107"/>
      <c r="AD617" s="107"/>
      <c r="AE617" s="107"/>
      <c r="AF617" s="107"/>
      <c r="AG617" s="107">
        <v>40.9563</v>
      </c>
      <c r="AH617" s="107"/>
      <c r="AI617" s="107"/>
      <c r="AJ617" s="108">
        <v>0</v>
      </c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7"/>
      <c r="AV617" s="107"/>
      <c r="AW617" s="107"/>
      <c r="AX617" s="107"/>
      <c r="AY617" s="106">
        <v>3.12727</v>
      </c>
      <c r="AZ617" s="107"/>
      <c r="BA617" s="107"/>
      <c r="BB617" s="107"/>
      <c r="BC617" s="107">
        <v>38.41089</v>
      </c>
      <c r="BD617" s="107">
        <v>37.6635</v>
      </c>
      <c r="BE617" s="107"/>
      <c r="BF617" s="107"/>
      <c r="BG617" s="107"/>
      <c r="BH617" s="107"/>
      <c r="BI617" s="107"/>
      <c r="BJ617" s="107"/>
      <c r="BK617" s="107"/>
      <c r="BL617" s="107"/>
      <c r="BM617" s="107"/>
      <c r="BN617" s="107"/>
      <c r="BO617" s="107"/>
      <c r="BP617" s="107"/>
      <c r="BQ617" s="109"/>
      <c r="BR617" s="109"/>
      <c r="BS617" s="109"/>
      <c r="BT617" s="109"/>
      <c r="BU617" s="138"/>
    </row>
    <row r="618" spans="1:73" ht="38.25" customHeight="1" outlineLevel="2">
      <c r="A618" s="35" t="s">
        <v>1051</v>
      </c>
      <c r="B618" s="19" t="s">
        <v>264</v>
      </c>
      <c r="C618" s="20" t="s">
        <v>587</v>
      </c>
      <c r="D618" s="218" t="s">
        <v>1568</v>
      </c>
      <c r="E618" s="220" t="s">
        <v>2417</v>
      </c>
      <c r="F618" s="108">
        <f t="shared" si="102"/>
        <v>339.97356999999994</v>
      </c>
      <c r="G618" s="106">
        <f t="shared" si="107"/>
        <v>71.90074</v>
      </c>
      <c r="H618" s="106">
        <f t="shared" si="108"/>
        <v>268.07282999999995</v>
      </c>
      <c r="I618" s="107"/>
      <c r="J618" s="107"/>
      <c r="K618" s="107"/>
      <c r="L618" s="107"/>
      <c r="M618" s="107"/>
      <c r="N618" s="107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7"/>
      <c r="Z618" s="107"/>
      <c r="AA618" s="106">
        <v>27.13551</v>
      </c>
      <c r="AB618" s="106">
        <v>17.03429</v>
      </c>
      <c r="AC618" s="107"/>
      <c r="AD618" s="107"/>
      <c r="AE618" s="107"/>
      <c r="AF618" s="107"/>
      <c r="AG618" s="107"/>
      <c r="AH618" s="107"/>
      <c r="AI618" s="107"/>
      <c r="AJ618" s="108">
        <v>0</v>
      </c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7"/>
      <c r="AV618" s="107"/>
      <c r="AW618" s="107"/>
      <c r="AX618" s="107"/>
      <c r="AY618" s="106"/>
      <c r="AZ618" s="107"/>
      <c r="BA618" s="107"/>
      <c r="BB618" s="107"/>
      <c r="BC618" s="107">
        <v>44.76523</v>
      </c>
      <c r="BD618" s="107">
        <v>43.89693</v>
      </c>
      <c r="BE618" s="107"/>
      <c r="BF618" s="107"/>
      <c r="BG618" s="107"/>
      <c r="BH618" s="107"/>
      <c r="BI618" s="107"/>
      <c r="BJ618" s="107">
        <v>207.14161</v>
      </c>
      <c r="BK618" s="107"/>
      <c r="BL618" s="107"/>
      <c r="BM618" s="107"/>
      <c r="BN618" s="107"/>
      <c r="BO618" s="107"/>
      <c r="BP618" s="107"/>
      <c r="BQ618" s="109"/>
      <c r="BR618" s="109"/>
      <c r="BS618" s="109"/>
      <c r="BT618" s="109"/>
      <c r="BU618" s="138"/>
    </row>
    <row r="619" spans="1:73" ht="38.25" customHeight="1" outlineLevel="2">
      <c r="A619" s="24" t="s">
        <v>1051</v>
      </c>
      <c r="B619" s="19" t="s">
        <v>1438</v>
      </c>
      <c r="C619" s="20" t="s">
        <v>587</v>
      </c>
      <c r="D619" s="218" t="s">
        <v>2420</v>
      </c>
      <c r="E619" s="220" t="s">
        <v>2419</v>
      </c>
      <c r="F619" s="108">
        <f t="shared" si="102"/>
        <v>1435.2975</v>
      </c>
      <c r="G619" s="106">
        <f t="shared" si="107"/>
        <v>0</v>
      </c>
      <c r="H619" s="106">
        <f t="shared" si="108"/>
        <v>1435.2975</v>
      </c>
      <c r="I619" s="107"/>
      <c r="J619" s="107"/>
      <c r="K619" s="107"/>
      <c r="L619" s="107"/>
      <c r="M619" s="107"/>
      <c r="N619" s="107">
        <v>1212.5475</v>
      </c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7"/>
      <c r="Z619" s="107"/>
      <c r="AA619" s="106"/>
      <c r="AB619" s="106"/>
      <c r="AC619" s="107"/>
      <c r="AD619" s="107"/>
      <c r="AE619" s="107"/>
      <c r="AF619" s="107"/>
      <c r="AG619" s="107"/>
      <c r="AH619" s="107"/>
      <c r="AI619" s="107"/>
      <c r="AJ619" s="108">
        <v>0</v>
      </c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7"/>
      <c r="AV619" s="107"/>
      <c r="AW619" s="107"/>
      <c r="AX619" s="107"/>
      <c r="AY619" s="106"/>
      <c r="AZ619" s="107">
        <v>222.75</v>
      </c>
      <c r="BA619" s="107"/>
      <c r="BB619" s="107"/>
      <c r="BC619" s="107"/>
      <c r="BD619" s="107"/>
      <c r="BE619" s="107"/>
      <c r="BF619" s="107"/>
      <c r="BG619" s="107"/>
      <c r="BH619" s="107"/>
      <c r="BI619" s="107"/>
      <c r="BJ619" s="107"/>
      <c r="BK619" s="107"/>
      <c r="BL619" s="107"/>
      <c r="BM619" s="107"/>
      <c r="BN619" s="107"/>
      <c r="BO619" s="107"/>
      <c r="BP619" s="107"/>
      <c r="BQ619" s="109"/>
      <c r="BR619" s="109"/>
      <c r="BS619" s="109"/>
      <c r="BT619" s="109"/>
      <c r="BU619" s="138"/>
    </row>
    <row r="620" spans="1:73" ht="38.25" customHeight="1" outlineLevel="2">
      <c r="A620" s="24" t="s">
        <v>1051</v>
      </c>
      <c r="B620" s="19" t="s">
        <v>1765</v>
      </c>
      <c r="C620" s="20" t="s">
        <v>587</v>
      </c>
      <c r="D620" s="251" t="s">
        <v>1809</v>
      </c>
      <c r="E620" s="252" t="s">
        <v>2421</v>
      </c>
      <c r="F620" s="108">
        <f t="shared" si="102"/>
        <v>1496.7</v>
      </c>
      <c r="G620" s="106">
        <f t="shared" si="107"/>
        <v>1496.7</v>
      </c>
      <c r="H620" s="106">
        <f t="shared" si="108"/>
        <v>0</v>
      </c>
      <c r="I620" s="107"/>
      <c r="J620" s="107"/>
      <c r="K620" s="107"/>
      <c r="L620" s="107"/>
      <c r="M620" s="107"/>
      <c r="N620" s="107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7"/>
      <c r="Z620" s="107"/>
      <c r="AA620" s="106"/>
      <c r="AB620" s="106"/>
      <c r="AC620" s="107"/>
      <c r="AD620" s="107"/>
      <c r="AE620" s="107"/>
      <c r="AF620" s="107"/>
      <c r="AG620" s="107"/>
      <c r="AH620" s="107"/>
      <c r="AI620" s="107"/>
      <c r="AJ620" s="108">
        <v>0</v>
      </c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7"/>
      <c r="AV620" s="107"/>
      <c r="AW620" s="107"/>
      <c r="AX620" s="107"/>
      <c r="AY620" s="106"/>
      <c r="AZ620" s="107"/>
      <c r="BA620" s="107"/>
      <c r="BB620" s="107"/>
      <c r="BC620" s="107"/>
      <c r="BD620" s="107"/>
      <c r="BE620" s="107"/>
      <c r="BF620" s="107"/>
      <c r="BG620" s="107"/>
      <c r="BH620" s="107"/>
      <c r="BI620" s="107"/>
      <c r="BJ620" s="107"/>
      <c r="BK620" s="107"/>
      <c r="BL620" s="107"/>
      <c r="BM620" s="107"/>
      <c r="BN620" s="107"/>
      <c r="BO620" s="107"/>
      <c r="BP620" s="107"/>
      <c r="BQ620" s="109"/>
      <c r="BR620" s="109">
        <v>1496.7</v>
      </c>
      <c r="BS620" s="109"/>
      <c r="BT620" s="109"/>
      <c r="BU620" s="138"/>
    </row>
    <row r="621" spans="1:73" ht="38.25" customHeight="1" outlineLevel="2">
      <c r="A621" s="35" t="s">
        <v>1051</v>
      </c>
      <c r="B621" s="19" t="s">
        <v>532</v>
      </c>
      <c r="C621" s="20" t="s">
        <v>587</v>
      </c>
      <c r="D621" s="218" t="s">
        <v>1676</v>
      </c>
      <c r="E621" s="220" t="s">
        <v>2422</v>
      </c>
      <c r="F621" s="108">
        <f t="shared" si="102"/>
        <v>84.82032000000001</v>
      </c>
      <c r="G621" s="106">
        <f t="shared" si="107"/>
        <v>51.95161</v>
      </c>
      <c r="H621" s="106">
        <f t="shared" si="108"/>
        <v>32.86871</v>
      </c>
      <c r="I621" s="107"/>
      <c r="J621" s="107"/>
      <c r="K621" s="107"/>
      <c r="L621" s="107"/>
      <c r="M621" s="107"/>
      <c r="N621" s="107"/>
      <c r="O621" s="106">
        <f>37.60887</f>
        <v>37.60887</v>
      </c>
      <c r="P621" s="106">
        <f>18.80441</f>
        <v>18.80441</v>
      </c>
      <c r="Q621" s="106"/>
      <c r="R621" s="106"/>
      <c r="S621" s="106"/>
      <c r="T621" s="106"/>
      <c r="U621" s="106"/>
      <c r="V621" s="106"/>
      <c r="W621" s="106"/>
      <c r="X621" s="106"/>
      <c r="Y621" s="107"/>
      <c r="Z621" s="107"/>
      <c r="AA621" s="106"/>
      <c r="AB621" s="106"/>
      <c r="AC621" s="107"/>
      <c r="AD621" s="107"/>
      <c r="AE621" s="107"/>
      <c r="AF621" s="107"/>
      <c r="AG621" s="107"/>
      <c r="AH621" s="107"/>
      <c r="AI621" s="107"/>
      <c r="AJ621" s="108">
        <v>0</v>
      </c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7"/>
      <c r="AV621" s="107"/>
      <c r="AW621" s="107"/>
      <c r="AX621" s="107"/>
      <c r="AY621" s="106"/>
      <c r="AZ621" s="107"/>
      <c r="BA621" s="107"/>
      <c r="BB621" s="107"/>
      <c r="BC621" s="107">
        <v>14.34274</v>
      </c>
      <c r="BD621" s="107">
        <v>14.0643</v>
      </c>
      <c r="BE621" s="107"/>
      <c r="BF621" s="107"/>
      <c r="BG621" s="107"/>
      <c r="BH621" s="107"/>
      <c r="BI621" s="107"/>
      <c r="BJ621" s="107"/>
      <c r="BK621" s="107"/>
      <c r="BL621" s="107"/>
      <c r="BM621" s="107"/>
      <c r="BN621" s="107"/>
      <c r="BO621" s="107"/>
      <c r="BP621" s="107"/>
      <c r="BQ621" s="109"/>
      <c r="BR621" s="109"/>
      <c r="BS621" s="109"/>
      <c r="BT621" s="109"/>
      <c r="BU621" s="138"/>
    </row>
    <row r="622" spans="1:73" ht="38.25" customHeight="1" outlineLevel="2">
      <c r="A622" s="35" t="s">
        <v>1051</v>
      </c>
      <c r="B622" s="19" t="s">
        <v>1766</v>
      </c>
      <c r="C622" s="20" t="s">
        <v>587</v>
      </c>
      <c r="D622" s="218" t="s">
        <v>1810</v>
      </c>
      <c r="E622" s="220" t="s">
        <v>2423</v>
      </c>
      <c r="F622" s="108">
        <f t="shared" si="102"/>
        <v>1165.22</v>
      </c>
      <c r="G622" s="106">
        <f t="shared" si="107"/>
        <v>1165.22</v>
      </c>
      <c r="H622" s="106">
        <f t="shared" si="108"/>
        <v>0</v>
      </c>
      <c r="I622" s="107"/>
      <c r="J622" s="107"/>
      <c r="K622" s="107"/>
      <c r="L622" s="107"/>
      <c r="M622" s="107"/>
      <c r="N622" s="107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7"/>
      <c r="Z622" s="107"/>
      <c r="AA622" s="106"/>
      <c r="AB622" s="106"/>
      <c r="AC622" s="107"/>
      <c r="AD622" s="107"/>
      <c r="AE622" s="107"/>
      <c r="AF622" s="107"/>
      <c r="AG622" s="107"/>
      <c r="AH622" s="107"/>
      <c r="AI622" s="107"/>
      <c r="AJ622" s="108">
        <v>0</v>
      </c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7"/>
      <c r="AV622" s="107"/>
      <c r="AW622" s="107"/>
      <c r="AX622" s="107"/>
      <c r="AY622" s="106"/>
      <c r="AZ622" s="107"/>
      <c r="BA622" s="107"/>
      <c r="BB622" s="107"/>
      <c r="BC622" s="107"/>
      <c r="BD622" s="107"/>
      <c r="BE622" s="107"/>
      <c r="BF622" s="107"/>
      <c r="BG622" s="107"/>
      <c r="BH622" s="107"/>
      <c r="BI622" s="107"/>
      <c r="BJ622" s="107"/>
      <c r="BK622" s="107"/>
      <c r="BL622" s="107"/>
      <c r="BM622" s="107"/>
      <c r="BN622" s="107"/>
      <c r="BO622" s="107"/>
      <c r="BP622" s="107"/>
      <c r="BQ622" s="109"/>
      <c r="BR622" s="109">
        <v>1165.22</v>
      </c>
      <c r="BS622" s="109"/>
      <c r="BT622" s="109"/>
      <c r="BU622" s="138"/>
    </row>
    <row r="623" spans="1:73" ht="38.25" customHeight="1" outlineLevel="2">
      <c r="A623" s="35" t="s">
        <v>1051</v>
      </c>
      <c r="B623" s="19" t="s">
        <v>26</v>
      </c>
      <c r="C623" s="20" t="s">
        <v>587</v>
      </c>
      <c r="D623" s="209" t="s">
        <v>352</v>
      </c>
      <c r="E623" s="210" t="s">
        <v>2424</v>
      </c>
      <c r="F623" s="108">
        <f t="shared" si="102"/>
        <v>284.09291</v>
      </c>
      <c r="G623" s="106">
        <f t="shared" si="107"/>
        <v>116.01365</v>
      </c>
      <c r="H623" s="106">
        <f t="shared" si="108"/>
        <v>168.07926</v>
      </c>
      <c r="I623" s="107"/>
      <c r="J623" s="107"/>
      <c r="K623" s="107"/>
      <c r="L623" s="107"/>
      <c r="M623" s="107"/>
      <c r="N623" s="107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7">
        <v>7.6</v>
      </c>
      <c r="Z623" s="107">
        <v>19.965</v>
      </c>
      <c r="AA623" s="106">
        <v>14.28811</v>
      </c>
      <c r="AB623" s="106">
        <v>11.88439</v>
      </c>
      <c r="AC623" s="107"/>
      <c r="AD623" s="107"/>
      <c r="AE623" s="107"/>
      <c r="AF623" s="107"/>
      <c r="AG623" s="107"/>
      <c r="AH623" s="107"/>
      <c r="AI623" s="107"/>
      <c r="AJ623" s="108">
        <v>0</v>
      </c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7"/>
      <c r="AV623" s="107"/>
      <c r="AW623" s="107"/>
      <c r="AX623" s="107"/>
      <c r="AY623" s="106"/>
      <c r="AZ623" s="107"/>
      <c r="BA623" s="107"/>
      <c r="BB623" s="107"/>
      <c r="BC623" s="107">
        <v>94.12554</v>
      </c>
      <c r="BD623" s="107">
        <v>92.30165</v>
      </c>
      <c r="BE623" s="107"/>
      <c r="BF623" s="107"/>
      <c r="BG623" s="107"/>
      <c r="BH623" s="107"/>
      <c r="BI623" s="107"/>
      <c r="BJ623" s="107">
        <v>43.92822</v>
      </c>
      <c r="BK623" s="107"/>
      <c r="BL623" s="107"/>
      <c r="BM623" s="107"/>
      <c r="BN623" s="107"/>
      <c r="BO623" s="107"/>
      <c r="BP623" s="107"/>
      <c r="BQ623" s="109"/>
      <c r="BR623" s="109"/>
      <c r="BS623" s="109"/>
      <c r="BT623" s="109"/>
      <c r="BU623" s="138"/>
    </row>
    <row r="624" spans="1:73" ht="38.25" customHeight="1" outlineLevel="2">
      <c r="A624" s="35" t="s">
        <v>1051</v>
      </c>
      <c r="B624" s="19" t="s">
        <v>1274</v>
      </c>
      <c r="C624" s="20" t="s">
        <v>587</v>
      </c>
      <c r="D624" s="209" t="s">
        <v>1575</v>
      </c>
      <c r="E624" s="210" t="s">
        <v>2425</v>
      </c>
      <c r="F624" s="108">
        <f t="shared" si="102"/>
        <v>4575.686930000001</v>
      </c>
      <c r="G624" s="106">
        <f t="shared" si="107"/>
        <v>64.84928</v>
      </c>
      <c r="H624" s="106">
        <f t="shared" si="108"/>
        <v>4510.83765</v>
      </c>
      <c r="I624" s="107"/>
      <c r="J624" s="107"/>
      <c r="K624" s="107"/>
      <c r="L624" s="107"/>
      <c r="M624" s="107"/>
      <c r="N624" s="107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7">
        <v>16.83567</v>
      </c>
      <c r="Z624" s="107"/>
      <c r="AA624" s="106"/>
      <c r="AB624" s="106"/>
      <c r="AC624" s="107"/>
      <c r="AD624" s="107"/>
      <c r="AE624" s="107"/>
      <c r="AF624" s="107"/>
      <c r="AG624" s="107">
        <v>229.308</v>
      </c>
      <c r="AH624" s="107"/>
      <c r="AI624" s="107"/>
      <c r="AJ624" s="108">
        <v>0</v>
      </c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7"/>
      <c r="AV624" s="107"/>
      <c r="AW624" s="107"/>
      <c r="AX624" s="107"/>
      <c r="AY624" s="106">
        <v>148.81682</v>
      </c>
      <c r="AZ624" s="107"/>
      <c r="BA624" s="107"/>
      <c r="BB624" s="107"/>
      <c r="BC624" s="107">
        <v>48.01361</v>
      </c>
      <c r="BD624" s="107">
        <v>47.07937</v>
      </c>
      <c r="BE624" s="107"/>
      <c r="BF624" s="107"/>
      <c r="BG624" s="107"/>
      <c r="BH624" s="107"/>
      <c r="BI624" s="107"/>
      <c r="BJ624" s="107">
        <v>4085.63346</v>
      </c>
      <c r="BK624" s="107"/>
      <c r="BL624" s="107"/>
      <c r="BM624" s="107"/>
      <c r="BN624" s="107"/>
      <c r="BO624" s="107"/>
      <c r="BP624" s="107"/>
      <c r="BQ624" s="109"/>
      <c r="BR624" s="109"/>
      <c r="BS624" s="109"/>
      <c r="BT624" s="109"/>
      <c r="BU624" s="138"/>
    </row>
    <row r="625" spans="1:73" ht="38.25" customHeight="1" outlineLevel="2">
      <c r="A625" s="35" t="s">
        <v>1051</v>
      </c>
      <c r="B625" s="19" t="s">
        <v>1262</v>
      </c>
      <c r="C625" s="20" t="s">
        <v>587</v>
      </c>
      <c r="D625" s="209" t="s">
        <v>157</v>
      </c>
      <c r="E625" s="210" t="s">
        <v>2426</v>
      </c>
      <c r="F625" s="108">
        <f t="shared" si="102"/>
        <v>809.7782799999999</v>
      </c>
      <c r="G625" s="106">
        <f t="shared" si="107"/>
        <v>117.99619</v>
      </c>
      <c r="H625" s="106">
        <f t="shared" si="108"/>
        <v>691.7820899999999</v>
      </c>
      <c r="I625" s="107"/>
      <c r="J625" s="107"/>
      <c r="K625" s="107"/>
      <c r="L625" s="107"/>
      <c r="M625" s="107"/>
      <c r="N625" s="107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7"/>
      <c r="Z625" s="107"/>
      <c r="AA625" s="106"/>
      <c r="AB625" s="106"/>
      <c r="AC625" s="107"/>
      <c r="AD625" s="107"/>
      <c r="AE625" s="107"/>
      <c r="AF625" s="107"/>
      <c r="AG625" s="107"/>
      <c r="AH625" s="107"/>
      <c r="AI625" s="107"/>
      <c r="AJ625" s="108">
        <v>0</v>
      </c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7"/>
      <c r="AV625" s="107"/>
      <c r="AW625" s="107"/>
      <c r="AX625" s="107"/>
      <c r="AY625" s="106"/>
      <c r="AZ625" s="107"/>
      <c r="BA625" s="107"/>
      <c r="BB625" s="107"/>
      <c r="BC625" s="107">
        <v>117.99619</v>
      </c>
      <c r="BD625" s="107">
        <v>115.70777</v>
      </c>
      <c r="BE625" s="107"/>
      <c r="BF625" s="107"/>
      <c r="BG625" s="107"/>
      <c r="BH625" s="107"/>
      <c r="BI625" s="107"/>
      <c r="BJ625" s="107">
        <v>576.07432</v>
      </c>
      <c r="BK625" s="107"/>
      <c r="BL625" s="107"/>
      <c r="BM625" s="107"/>
      <c r="BN625" s="107"/>
      <c r="BO625" s="107"/>
      <c r="BP625" s="107"/>
      <c r="BQ625" s="109"/>
      <c r="BR625" s="109"/>
      <c r="BS625" s="109"/>
      <c r="BT625" s="109"/>
      <c r="BU625" s="138"/>
    </row>
    <row r="626" spans="1:73" ht="38.25" customHeight="1" outlineLevel="2">
      <c r="A626" s="35" t="s">
        <v>1051</v>
      </c>
      <c r="B626" s="19" t="s">
        <v>1627</v>
      </c>
      <c r="C626" s="20" t="s">
        <v>587</v>
      </c>
      <c r="D626" s="209" t="s">
        <v>1677</v>
      </c>
      <c r="E626" s="210" t="s">
        <v>2427</v>
      </c>
      <c r="F626" s="108">
        <f t="shared" si="102"/>
        <v>480.3505</v>
      </c>
      <c r="G626" s="106">
        <f t="shared" si="107"/>
        <v>240.21628</v>
      </c>
      <c r="H626" s="106">
        <f t="shared" si="108"/>
        <v>240.13422</v>
      </c>
      <c r="I626" s="107"/>
      <c r="J626" s="107"/>
      <c r="K626" s="107"/>
      <c r="L626" s="107"/>
      <c r="M626" s="107"/>
      <c r="N626" s="107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7"/>
      <c r="Z626" s="107"/>
      <c r="AA626" s="106"/>
      <c r="AB626" s="106"/>
      <c r="AC626" s="107"/>
      <c r="AD626" s="107"/>
      <c r="AE626" s="107"/>
      <c r="AF626" s="107"/>
      <c r="AG626" s="107"/>
      <c r="AH626" s="107"/>
      <c r="AI626" s="107"/>
      <c r="AJ626" s="108">
        <v>0</v>
      </c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7"/>
      <c r="AV626" s="107"/>
      <c r="AW626" s="107"/>
      <c r="AX626" s="107"/>
      <c r="AY626" s="106"/>
      <c r="AZ626" s="107"/>
      <c r="BA626" s="107"/>
      <c r="BB626" s="107"/>
      <c r="BC626" s="107">
        <v>240.21628</v>
      </c>
      <c r="BD626" s="107">
        <v>240.13422</v>
      </c>
      <c r="BE626" s="107"/>
      <c r="BF626" s="107"/>
      <c r="BG626" s="107"/>
      <c r="BH626" s="107"/>
      <c r="BI626" s="107"/>
      <c r="BJ626" s="107"/>
      <c r="BK626" s="107"/>
      <c r="BL626" s="107"/>
      <c r="BM626" s="107"/>
      <c r="BN626" s="107"/>
      <c r="BO626" s="107"/>
      <c r="BP626" s="107"/>
      <c r="BQ626" s="109"/>
      <c r="BR626" s="109"/>
      <c r="BS626" s="109"/>
      <c r="BT626" s="109"/>
      <c r="BU626" s="138"/>
    </row>
    <row r="627" spans="1:73" ht="38.25" customHeight="1" outlineLevel="2">
      <c r="A627" s="35" t="s">
        <v>1051</v>
      </c>
      <c r="B627" s="19" t="s">
        <v>1601</v>
      </c>
      <c r="C627" s="20" t="s">
        <v>587</v>
      </c>
      <c r="D627" s="209" t="s">
        <v>1690</v>
      </c>
      <c r="E627" s="210" t="s">
        <v>2428</v>
      </c>
      <c r="F627" s="108">
        <f t="shared" si="102"/>
        <v>34.46508</v>
      </c>
      <c r="G627" s="106">
        <f t="shared" si="107"/>
        <v>0</v>
      </c>
      <c r="H627" s="106">
        <f t="shared" si="108"/>
        <v>34.46508</v>
      </c>
      <c r="I627" s="107"/>
      <c r="J627" s="107"/>
      <c r="K627" s="107"/>
      <c r="L627" s="107"/>
      <c r="M627" s="107"/>
      <c r="N627" s="107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7"/>
      <c r="Z627" s="107"/>
      <c r="AA627" s="106"/>
      <c r="AB627" s="106"/>
      <c r="AC627" s="107"/>
      <c r="AD627" s="107"/>
      <c r="AE627" s="107"/>
      <c r="AF627" s="107"/>
      <c r="AG627" s="107"/>
      <c r="AH627" s="107"/>
      <c r="AI627" s="107"/>
      <c r="AJ627" s="108">
        <v>0</v>
      </c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7"/>
      <c r="AV627" s="107"/>
      <c r="AW627" s="107"/>
      <c r="AX627" s="107"/>
      <c r="AY627" s="106">
        <v>34.46508</v>
      </c>
      <c r="AZ627" s="107"/>
      <c r="BA627" s="107"/>
      <c r="BB627" s="107"/>
      <c r="BC627" s="107"/>
      <c r="BD627" s="107"/>
      <c r="BE627" s="107"/>
      <c r="BF627" s="107"/>
      <c r="BG627" s="107"/>
      <c r="BH627" s="107"/>
      <c r="BI627" s="107"/>
      <c r="BJ627" s="107"/>
      <c r="BK627" s="107"/>
      <c r="BL627" s="107"/>
      <c r="BM627" s="107"/>
      <c r="BN627" s="107"/>
      <c r="BO627" s="107"/>
      <c r="BP627" s="107"/>
      <c r="BQ627" s="109"/>
      <c r="BR627" s="109"/>
      <c r="BS627" s="109"/>
      <c r="BT627" s="109"/>
      <c r="BU627" s="138"/>
    </row>
    <row r="628" spans="1:73" ht="38.25" customHeight="1" outlineLevel="2">
      <c r="A628" s="35" t="s">
        <v>1051</v>
      </c>
      <c r="B628" s="19" t="s">
        <v>1260</v>
      </c>
      <c r="C628" s="20" t="s">
        <v>587</v>
      </c>
      <c r="D628" s="209" t="s">
        <v>1702</v>
      </c>
      <c r="E628" s="210" t="s">
        <v>2429</v>
      </c>
      <c r="F628" s="108">
        <f t="shared" si="102"/>
        <v>118.09378000000001</v>
      </c>
      <c r="G628" s="106">
        <f t="shared" si="107"/>
        <v>46.48508</v>
      </c>
      <c r="H628" s="106">
        <f t="shared" si="108"/>
        <v>71.6087</v>
      </c>
      <c r="I628" s="107"/>
      <c r="J628" s="107"/>
      <c r="K628" s="107"/>
      <c r="L628" s="107"/>
      <c r="M628" s="107"/>
      <c r="N628" s="107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7"/>
      <c r="Z628" s="107"/>
      <c r="AA628" s="106">
        <v>14.38734</v>
      </c>
      <c r="AB628" s="106">
        <v>9.90365</v>
      </c>
      <c r="AC628" s="107"/>
      <c r="AD628" s="107"/>
      <c r="AE628" s="107"/>
      <c r="AF628" s="107"/>
      <c r="AG628" s="107"/>
      <c r="AH628" s="107"/>
      <c r="AI628" s="107"/>
      <c r="AJ628" s="108">
        <v>0</v>
      </c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7"/>
      <c r="AV628" s="107"/>
      <c r="AW628" s="107"/>
      <c r="AX628" s="107"/>
      <c r="AY628" s="106">
        <v>1.78909</v>
      </c>
      <c r="AZ628" s="107">
        <v>28.44</v>
      </c>
      <c r="BA628" s="107"/>
      <c r="BB628" s="107"/>
      <c r="BC628" s="107">
        <v>32.09774</v>
      </c>
      <c r="BD628" s="107">
        <v>31.47596</v>
      </c>
      <c r="BE628" s="107"/>
      <c r="BF628" s="107"/>
      <c r="BG628" s="107"/>
      <c r="BH628" s="107"/>
      <c r="BI628" s="107"/>
      <c r="BJ628" s="107"/>
      <c r="BK628" s="107"/>
      <c r="BL628" s="107"/>
      <c r="BM628" s="107"/>
      <c r="BN628" s="107"/>
      <c r="BO628" s="107"/>
      <c r="BP628" s="107"/>
      <c r="BQ628" s="109"/>
      <c r="BR628" s="109"/>
      <c r="BS628" s="109"/>
      <c r="BT628" s="109"/>
      <c r="BU628" s="138"/>
    </row>
    <row r="629" spans="1:73" ht="38.25" customHeight="1" outlineLevel="2">
      <c r="A629" s="35" t="s">
        <v>1051</v>
      </c>
      <c r="B629" s="19" t="s">
        <v>1259</v>
      </c>
      <c r="C629" s="20" t="s">
        <v>587</v>
      </c>
      <c r="D629" s="209" t="s">
        <v>158</v>
      </c>
      <c r="E629" s="210" t="s">
        <v>2430</v>
      </c>
      <c r="F629" s="108">
        <f t="shared" si="102"/>
        <v>546.46363</v>
      </c>
      <c r="G629" s="106">
        <f t="shared" si="107"/>
        <v>56.80688</v>
      </c>
      <c r="H629" s="106">
        <f t="shared" si="108"/>
        <v>489.65675</v>
      </c>
      <c r="I629" s="107"/>
      <c r="J629" s="107"/>
      <c r="K629" s="107"/>
      <c r="L629" s="107"/>
      <c r="M629" s="107"/>
      <c r="N629" s="107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7"/>
      <c r="Z629" s="107"/>
      <c r="AA629" s="106">
        <v>26.39332</v>
      </c>
      <c r="AB629" s="106">
        <v>19.80731</v>
      </c>
      <c r="AC629" s="107"/>
      <c r="AD629" s="107"/>
      <c r="AE629" s="107"/>
      <c r="AF629" s="107"/>
      <c r="AG629" s="107"/>
      <c r="AH629" s="107"/>
      <c r="AI629" s="107"/>
      <c r="AJ629" s="108">
        <v>0</v>
      </c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7"/>
      <c r="AV629" s="107"/>
      <c r="AW629" s="107"/>
      <c r="AX629" s="107"/>
      <c r="AY629" s="106"/>
      <c r="AZ629" s="107"/>
      <c r="BA629" s="107"/>
      <c r="BB629" s="107"/>
      <c r="BC629" s="107">
        <v>30.41356</v>
      </c>
      <c r="BD629" s="107">
        <v>29.82672</v>
      </c>
      <c r="BE629" s="107"/>
      <c r="BF629" s="107"/>
      <c r="BG629" s="107"/>
      <c r="BH629" s="107"/>
      <c r="BI629" s="107"/>
      <c r="BJ629" s="107">
        <v>440.02272</v>
      </c>
      <c r="BK629" s="107"/>
      <c r="BL629" s="107"/>
      <c r="BM629" s="107"/>
      <c r="BN629" s="107"/>
      <c r="BO629" s="107"/>
      <c r="BP629" s="107"/>
      <c r="BQ629" s="109"/>
      <c r="BR629" s="109"/>
      <c r="BS629" s="109"/>
      <c r="BT629" s="109"/>
      <c r="BU629" s="138"/>
    </row>
    <row r="630" spans="1:73" ht="38.25" customHeight="1" outlineLevel="2">
      <c r="A630" s="35" t="s">
        <v>1051</v>
      </c>
      <c r="B630" s="19" t="s">
        <v>1261</v>
      </c>
      <c r="C630" s="20" t="s">
        <v>587</v>
      </c>
      <c r="D630" s="209" t="s">
        <v>159</v>
      </c>
      <c r="E630" s="210" t="s">
        <v>2431</v>
      </c>
      <c r="F630" s="108">
        <f t="shared" si="102"/>
        <v>5.9477899999999995</v>
      </c>
      <c r="G630" s="106">
        <f t="shared" si="107"/>
        <v>2.97669</v>
      </c>
      <c r="H630" s="106">
        <f t="shared" si="108"/>
        <v>2.9711</v>
      </c>
      <c r="I630" s="107"/>
      <c r="J630" s="107"/>
      <c r="K630" s="107"/>
      <c r="L630" s="107"/>
      <c r="M630" s="107"/>
      <c r="N630" s="107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7"/>
      <c r="Z630" s="107"/>
      <c r="AA630" s="106">
        <v>2.97669</v>
      </c>
      <c r="AB630" s="106">
        <v>2.9711</v>
      </c>
      <c r="AC630" s="107"/>
      <c r="AD630" s="107"/>
      <c r="AE630" s="107"/>
      <c r="AF630" s="107"/>
      <c r="AG630" s="107"/>
      <c r="AH630" s="107"/>
      <c r="AI630" s="107"/>
      <c r="AJ630" s="108">
        <v>0</v>
      </c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7"/>
      <c r="AV630" s="107"/>
      <c r="AW630" s="107"/>
      <c r="AX630" s="107"/>
      <c r="AY630" s="106"/>
      <c r="AZ630" s="107"/>
      <c r="BA630" s="107"/>
      <c r="BB630" s="107"/>
      <c r="BC630" s="107"/>
      <c r="BD630" s="107"/>
      <c r="BE630" s="107"/>
      <c r="BF630" s="107"/>
      <c r="BG630" s="107"/>
      <c r="BH630" s="107"/>
      <c r="BI630" s="107"/>
      <c r="BJ630" s="107"/>
      <c r="BK630" s="107"/>
      <c r="BL630" s="107"/>
      <c r="BM630" s="107"/>
      <c r="BN630" s="107"/>
      <c r="BO630" s="107"/>
      <c r="BP630" s="107"/>
      <c r="BQ630" s="109"/>
      <c r="BR630" s="109"/>
      <c r="BS630" s="109"/>
      <c r="BT630" s="109"/>
      <c r="BU630" s="138"/>
    </row>
    <row r="631" spans="1:73" ht="38.25" customHeight="1" outlineLevel="2">
      <c r="A631" s="24" t="s">
        <v>1051</v>
      </c>
      <c r="B631" s="19" t="s">
        <v>1258</v>
      </c>
      <c r="C631" s="20" t="s">
        <v>587</v>
      </c>
      <c r="D631" s="209" t="s">
        <v>160</v>
      </c>
      <c r="E631" s="210" t="s">
        <v>2432</v>
      </c>
      <c r="F631" s="108">
        <f t="shared" si="102"/>
        <v>161.24043</v>
      </c>
      <c r="G631" s="106">
        <f t="shared" si="107"/>
        <v>80.62568</v>
      </c>
      <c r="H631" s="106">
        <f t="shared" si="108"/>
        <v>80.61475</v>
      </c>
      <c r="I631" s="107"/>
      <c r="J631" s="107"/>
      <c r="K631" s="107"/>
      <c r="L631" s="107"/>
      <c r="M631" s="107"/>
      <c r="N631" s="107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7"/>
      <c r="Z631" s="107"/>
      <c r="AA631" s="106"/>
      <c r="AB631" s="106"/>
      <c r="AC631" s="107"/>
      <c r="AD631" s="107"/>
      <c r="AE631" s="107"/>
      <c r="AF631" s="107"/>
      <c r="AG631" s="107"/>
      <c r="AH631" s="107"/>
      <c r="AI631" s="107"/>
      <c r="AJ631" s="108">
        <v>0</v>
      </c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7"/>
      <c r="AV631" s="107"/>
      <c r="AW631" s="107"/>
      <c r="AX631" s="107"/>
      <c r="AY631" s="106"/>
      <c r="AZ631" s="107"/>
      <c r="BA631" s="107"/>
      <c r="BB631" s="107"/>
      <c r="BC631" s="107">
        <v>80.62568</v>
      </c>
      <c r="BD631" s="107">
        <v>80.61475</v>
      </c>
      <c r="BE631" s="107"/>
      <c r="BF631" s="107"/>
      <c r="BG631" s="107"/>
      <c r="BH631" s="107"/>
      <c r="BI631" s="107"/>
      <c r="BJ631" s="107"/>
      <c r="BK631" s="107"/>
      <c r="BL631" s="107"/>
      <c r="BM631" s="107"/>
      <c r="BN631" s="107"/>
      <c r="BO631" s="107"/>
      <c r="BP631" s="107"/>
      <c r="BQ631" s="109"/>
      <c r="BR631" s="109"/>
      <c r="BS631" s="109"/>
      <c r="BT631" s="109"/>
      <c r="BU631" s="138"/>
    </row>
    <row r="632" spans="1:73" ht="38.25" customHeight="1" outlineLevel="2">
      <c r="A632" s="24" t="s">
        <v>1051</v>
      </c>
      <c r="B632" s="19" t="s">
        <v>839</v>
      </c>
      <c r="C632" s="20" t="s">
        <v>587</v>
      </c>
      <c r="D632" s="209" t="s">
        <v>1584</v>
      </c>
      <c r="E632" s="210" t="s">
        <v>2433</v>
      </c>
      <c r="F632" s="108">
        <f t="shared" si="102"/>
        <v>31.69766</v>
      </c>
      <c r="G632" s="106">
        <f t="shared" si="107"/>
        <v>16.00454</v>
      </c>
      <c r="H632" s="106">
        <f t="shared" si="108"/>
        <v>15.69312</v>
      </c>
      <c r="I632" s="107"/>
      <c r="J632" s="107"/>
      <c r="K632" s="107"/>
      <c r="L632" s="107"/>
      <c r="M632" s="107"/>
      <c r="N632" s="107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7"/>
      <c r="Z632" s="107"/>
      <c r="AA632" s="159"/>
      <c r="AB632" s="106"/>
      <c r="AC632" s="107"/>
      <c r="AD632" s="107"/>
      <c r="AE632" s="107"/>
      <c r="AF632" s="107"/>
      <c r="AG632" s="107"/>
      <c r="AH632" s="107"/>
      <c r="AI632" s="107"/>
      <c r="AJ632" s="108">
        <v>0</v>
      </c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7"/>
      <c r="AV632" s="107"/>
      <c r="AW632" s="107"/>
      <c r="AX632" s="107"/>
      <c r="AY632" s="106"/>
      <c r="AZ632" s="107"/>
      <c r="BA632" s="107"/>
      <c r="BB632" s="107"/>
      <c r="BC632" s="107">
        <v>16.00454</v>
      </c>
      <c r="BD632" s="107">
        <v>15.69312</v>
      </c>
      <c r="BE632" s="107"/>
      <c r="BF632" s="107"/>
      <c r="BG632" s="107"/>
      <c r="BH632" s="107"/>
      <c r="BI632" s="107"/>
      <c r="BJ632" s="107"/>
      <c r="BK632" s="107"/>
      <c r="BL632" s="107"/>
      <c r="BM632" s="107"/>
      <c r="BN632" s="107"/>
      <c r="BO632" s="107"/>
      <c r="BP632" s="107"/>
      <c r="BQ632" s="109"/>
      <c r="BR632" s="109"/>
      <c r="BS632" s="109"/>
      <c r="BT632" s="109"/>
      <c r="BU632" s="138"/>
    </row>
    <row r="633" spans="1:73" ht="32.25" customHeight="1" outlineLevel="2">
      <c r="A633" s="24" t="s">
        <v>1051</v>
      </c>
      <c r="B633" s="19" t="s">
        <v>884</v>
      </c>
      <c r="C633" s="20" t="s">
        <v>587</v>
      </c>
      <c r="D633" s="218" t="s">
        <v>987</v>
      </c>
      <c r="E633" s="203" t="s">
        <v>2451</v>
      </c>
      <c r="F633" s="108">
        <f aca="true" t="shared" si="109" ref="F633:F676">G633+H633</f>
        <v>2013.55168</v>
      </c>
      <c r="G633" s="106">
        <f t="shared" si="107"/>
        <v>414.98974</v>
      </c>
      <c r="H633" s="106">
        <f t="shared" si="108"/>
        <v>1598.56194</v>
      </c>
      <c r="I633" s="107"/>
      <c r="J633" s="107"/>
      <c r="K633" s="107"/>
      <c r="L633" s="107"/>
      <c r="M633" s="107"/>
      <c r="N633" s="107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7"/>
      <c r="Z633" s="107"/>
      <c r="AA633" s="159">
        <v>216.70304</v>
      </c>
      <c r="AB633" s="106">
        <v>138.65116</v>
      </c>
      <c r="AC633" s="107"/>
      <c r="AD633" s="107"/>
      <c r="AE633" s="107"/>
      <c r="AF633" s="107"/>
      <c r="AG633" s="107"/>
      <c r="AH633" s="107"/>
      <c r="AI633" s="107"/>
      <c r="AJ633" s="108">
        <v>80.62451999999999</v>
      </c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7"/>
      <c r="AV633" s="107"/>
      <c r="AW633" s="107"/>
      <c r="AX633" s="107"/>
      <c r="AY633" s="106"/>
      <c r="AZ633" s="107"/>
      <c r="BA633" s="118"/>
      <c r="BB633" s="107"/>
      <c r="BC633" s="107">
        <v>198.2867</v>
      </c>
      <c r="BD633" s="107">
        <v>194.45256</v>
      </c>
      <c r="BE633" s="107"/>
      <c r="BF633" s="107"/>
      <c r="BG633" s="107"/>
      <c r="BH633" s="107"/>
      <c r="BI633" s="107"/>
      <c r="BJ633" s="107">
        <v>1184.8337</v>
      </c>
      <c r="BK633" s="107"/>
      <c r="BL633" s="107"/>
      <c r="BM633" s="107"/>
      <c r="BN633" s="107"/>
      <c r="BO633" s="107"/>
      <c r="BP633" s="107"/>
      <c r="BQ633" s="109"/>
      <c r="BR633" s="109"/>
      <c r="BS633" s="109"/>
      <c r="BT633" s="109"/>
      <c r="BU633" s="138"/>
    </row>
    <row r="634" spans="1:73" ht="30.75" customHeight="1" outlineLevel="2">
      <c r="A634" s="35" t="s">
        <v>1051</v>
      </c>
      <c r="B634" s="19" t="s">
        <v>1409</v>
      </c>
      <c r="C634" s="20" t="s">
        <v>710</v>
      </c>
      <c r="D634" s="218" t="s">
        <v>2435</v>
      </c>
      <c r="E634" s="203" t="s">
        <v>2434</v>
      </c>
      <c r="F634" s="108">
        <f t="shared" si="109"/>
        <v>265.23</v>
      </c>
      <c r="G634" s="106">
        <f t="shared" si="107"/>
        <v>0</v>
      </c>
      <c r="H634" s="106">
        <f t="shared" si="108"/>
        <v>265.23</v>
      </c>
      <c r="I634" s="107"/>
      <c r="J634" s="107"/>
      <c r="K634" s="107"/>
      <c r="L634" s="107"/>
      <c r="M634" s="107"/>
      <c r="N634" s="107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7"/>
      <c r="Z634" s="107"/>
      <c r="AA634" s="106"/>
      <c r="AB634" s="106"/>
      <c r="AC634" s="107"/>
      <c r="AD634" s="107"/>
      <c r="AE634" s="107"/>
      <c r="AF634" s="107"/>
      <c r="AG634" s="107"/>
      <c r="AH634" s="107"/>
      <c r="AI634" s="107"/>
      <c r="AJ634" s="108">
        <v>0</v>
      </c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7"/>
      <c r="AV634" s="107"/>
      <c r="AW634" s="107"/>
      <c r="AX634" s="107"/>
      <c r="AY634" s="106"/>
      <c r="AZ634" s="107">
        <v>265.23</v>
      </c>
      <c r="BA634" s="107"/>
      <c r="BB634" s="107"/>
      <c r="BC634" s="107"/>
      <c r="BD634" s="107"/>
      <c r="BE634" s="107"/>
      <c r="BF634" s="107"/>
      <c r="BG634" s="107"/>
      <c r="BH634" s="107"/>
      <c r="BI634" s="107"/>
      <c r="BJ634" s="107"/>
      <c r="BK634" s="107"/>
      <c r="BL634" s="107"/>
      <c r="BM634" s="107"/>
      <c r="BN634" s="107"/>
      <c r="BO634" s="107"/>
      <c r="BP634" s="107"/>
      <c r="BQ634" s="109"/>
      <c r="BR634" s="109"/>
      <c r="BS634" s="109"/>
      <c r="BT634" s="109"/>
      <c r="BU634" s="138"/>
    </row>
    <row r="635" spans="1:73" ht="39" customHeight="1" outlineLevel="2">
      <c r="A635" s="35" t="s">
        <v>1051</v>
      </c>
      <c r="B635" s="19" t="s">
        <v>564</v>
      </c>
      <c r="C635" s="20" t="s">
        <v>710</v>
      </c>
      <c r="D635" s="209" t="s">
        <v>161</v>
      </c>
      <c r="E635" s="210" t="s">
        <v>2436</v>
      </c>
      <c r="F635" s="108">
        <f t="shared" si="109"/>
        <v>254.13818999999998</v>
      </c>
      <c r="G635" s="106">
        <f t="shared" si="107"/>
        <v>127.84246999999999</v>
      </c>
      <c r="H635" s="106">
        <f t="shared" si="108"/>
        <v>126.29571999999999</v>
      </c>
      <c r="I635" s="107"/>
      <c r="J635" s="107"/>
      <c r="K635" s="107"/>
      <c r="L635" s="107"/>
      <c r="M635" s="107"/>
      <c r="N635" s="107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7"/>
      <c r="Z635" s="107"/>
      <c r="AA635" s="159">
        <v>33.71994</v>
      </c>
      <c r="AB635" s="106">
        <v>23.37262</v>
      </c>
      <c r="AC635" s="107"/>
      <c r="AD635" s="107"/>
      <c r="AE635" s="107"/>
      <c r="AF635" s="107"/>
      <c r="AG635" s="107"/>
      <c r="AH635" s="107"/>
      <c r="AI635" s="107"/>
      <c r="AJ635" s="108">
        <v>0</v>
      </c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7"/>
      <c r="AV635" s="107"/>
      <c r="AW635" s="107"/>
      <c r="AX635" s="107"/>
      <c r="AY635" s="106"/>
      <c r="AZ635" s="107"/>
      <c r="BA635" s="107"/>
      <c r="BB635" s="107"/>
      <c r="BC635" s="107">
        <v>94.12253</v>
      </c>
      <c r="BD635" s="107">
        <v>92.30045</v>
      </c>
      <c r="BE635" s="107"/>
      <c r="BF635" s="107"/>
      <c r="BG635" s="107"/>
      <c r="BH635" s="107"/>
      <c r="BI635" s="107"/>
      <c r="BJ635" s="107">
        <v>10.62265</v>
      </c>
      <c r="BK635" s="107"/>
      <c r="BL635" s="107"/>
      <c r="BM635" s="107"/>
      <c r="BN635" s="107"/>
      <c r="BO635" s="107"/>
      <c r="BP635" s="107"/>
      <c r="BQ635" s="109"/>
      <c r="BR635" s="109"/>
      <c r="BS635" s="109"/>
      <c r="BT635" s="109"/>
      <c r="BU635" s="138"/>
    </row>
    <row r="636" spans="1:73" ht="38.25" customHeight="1" outlineLevel="2">
      <c r="A636" s="35" t="s">
        <v>1051</v>
      </c>
      <c r="B636" s="19" t="s">
        <v>434</v>
      </c>
      <c r="C636" s="20" t="s">
        <v>710</v>
      </c>
      <c r="D636" s="218" t="s">
        <v>506</v>
      </c>
      <c r="E636" s="220" t="s">
        <v>2437</v>
      </c>
      <c r="F636" s="108">
        <f t="shared" si="109"/>
        <v>1673.10187</v>
      </c>
      <c r="G636" s="106">
        <f t="shared" si="107"/>
        <v>0</v>
      </c>
      <c r="H636" s="106">
        <f t="shared" si="108"/>
        <v>1673.10187</v>
      </c>
      <c r="I636" s="107"/>
      <c r="J636" s="107"/>
      <c r="K636" s="107"/>
      <c r="L636" s="107"/>
      <c r="M636" s="107"/>
      <c r="N636" s="107">
        <f>1041.21711+631.88476</f>
        <v>1673.10187</v>
      </c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7"/>
      <c r="Z636" s="107"/>
      <c r="AA636" s="159"/>
      <c r="AB636" s="106"/>
      <c r="AC636" s="107"/>
      <c r="AD636" s="107"/>
      <c r="AE636" s="107"/>
      <c r="AF636" s="107"/>
      <c r="AG636" s="107"/>
      <c r="AH636" s="107"/>
      <c r="AI636" s="107"/>
      <c r="AJ636" s="108">
        <v>0</v>
      </c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7"/>
      <c r="AV636" s="107"/>
      <c r="AW636" s="107"/>
      <c r="AX636" s="107"/>
      <c r="AY636" s="106"/>
      <c r="AZ636" s="107"/>
      <c r="BA636" s="107"/>
      <c r="BB636" s="107"/>
      <c r="BC636" s="107"/>
      <c r="BD636" s="107"/>
      <c r="BE636" s="107"/>
      <c r="BF636" s="107"/>
      <c r="BG636" s="107"/>
      <c r="BH636" s="107"/>
      <c r="BI636" s="107"/>
      <c r="BJ636" s="107"/>
      <c r="BK636" s="107"/>
      <c r="BL636" s="107"/>
      <c r="BM636" s="107"/>
      <c r="BN636" s="107"/>
      <c r="BO636" s="107"/>
      <c r="BP636" s="107"/>
      <c r="BQ636" s="109"/>
      <c r="BR636" s="109"/>
      <c r="BS636" s="109"/>
      <c r="BT636" s="109"/>
      <c r="BU636" s="138"/>
    </row>
    <row r="637" spans="1:73" ht="38.25" customHeight="1" outlineLevel="2">
      <c r="A637" s="24" t="s">
        <v>1051</v>
      </c>
      <c r="B637" s="19" t="s">
        <v>1257</v>
      </c>
      <c r="C637" s="20" t="s">
        <v>710</v>
      </c>
      <c r="D637" s="218" t="s">
        <v>1330</v>
      </c>
      <c r="E637" s="220" t="s">
        <v>2438</v>
      </c>
      <c r="F637" s="108">
        <f t="shared" si="109"/>
        <v>1726.37338</v>
      </c>
      <c r="G637" s="106">
        <f t="shared" si="107"/>
        <v>593.15957</v>
      </c>
      <c r="H637" s="106">
        <f t="shared" si="108"/>
        <v>1133.21381</v>
      </c>
      <c r="I637" s="107"/>
      <c r="J637" s="107"/>
      <c r="K637" s="107"/>
      <c r="L637" s="107"/>
      <c r="M637" s="107"/>
      <c r="N637" s="107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7">
        <v>52.24566</v>
      </c>
      <c r="Z637" s="107">
        <v>79.86</v>
      </c>
      <c r="AA637" s="159">
        <v>77.39394</v>
      </c>
      <c r="AB637" s="106">
        <v>39.61462</v>
      </c>
      <c r="AC637" s="107"/>
      <c r="AD637" s="107"/>
      <c r="AE637" s="107"/>
      <c r="AF637" s="107"/>
      <c r="AG637" s="107">
        <v>27.3042</v>
      </c>
      <c r="AH637" s="107"/>
      <c r="AI637" s="107"/>
      <c r="AJ637" s="108">
        <v>215.7326</v>
      </c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7"/>
      <c r="AV637" s="107">
        <v>316.16</v>
      </c>
      <c r="AW637" s="107"/>
      <c r="AX637" s="107"/>
      <c r="AY637" s="106"/>
      <c r="AZ637" s="107"/>
      <c r="BA637" s="107"/>
      <c r="BB637" s="107"/>
      <c r="BC637" s="107">
        <v>463.51997</v>
      </c>
      <c r="BD637" s="107">
        <v>454.54239</v>
      </c>
      <c r="BE637" s="107"/>
      <c r="BF637" s="107"/>
      <c r="BG637" s="107"/>
      <c r="BH637" s="107"/>
      <c r="BI637" s="107"/>
      <c r="BJ637" s="107"/>
      <c r="BK637" s="107"/>
      <c r="BL637" s="107"/>
      <c r="BM637" s="107"/>
      <c r="BN637" s="107"/>
      <c r="BO637" s="107"/>
      <c r="BP637" s="107"/>
      <c r="BQ637" s="109"/>
      <c r="BR637" s="109"/>
      <c r="BS637" s="109"/>
      <c r="BT637" s="109"/>
      <c r="BU637" s="138"/>
    </row>
    <row r="638" spans="1:73" ht="38.25" customHeight="1" outlineLevel="2">
      <c r="A638" s="24" t="s">
        <v>1051</v>
      </c>
      <c r="B638" s="19" t="s">
        <v>952</v>
      </c>
      <c r="C638" s="20" t="s">
        <v>710</v>
      </c>
      <c r="D638" s="209" t="s">
        <v>165</v>
      </c>
      <c r="E638" s="210" t="s">
        <v>2439</v>
      </c>
      <c r="F638" s="108">
        <f t="shared" si="109"/>
        <v>2421.44705</v>
      </c>
      <c r="G638" s="106">
        <f t="shared" si="107"/>
        <v>313.27725</v>
      </c>
      <c r="H638" s="106">
        <f t="shared" si="108"/>
        <v>2108.1698</v>
      </c>
      <c r="I638" s="107"/>
      <c r="J638" s="107"/>
      <c r="K638" s="107"/>
      <c r="L638" s="107"/>
      <c r="M638" s="107"/>
      <c r="N638" s="107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7"/>
      <c r="Z638" s="107"/>
      <c r="AA638" s="106"/>
      <c r="AB638" s="106"/>
      <c r="AC638" s="107"/>
      <c r="AD638" s="107"/>
      <c r="AE638" s="107"/>
      <c r="AF638" s="107"/>
      <c r="AG638" s="107"/>
      <c r="AH638" s="107"/>
      <c r="AI638" s="107"/>
      <c r="AJ638" s="108">
        <v>0</v>
      </c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7"/>
      <c r="AV638" s="107"/>
      <c r="AW638" s="107"/>
      <c r="AX638" s="107"/>
      <c r="AY638" s="106"/>
      <c r="AZ638" s="107"/>
      <c r="BA638" s="107"/>
      <c r="BB638" s="107"/>
      <c r="BC638" s="107">
        <v>313.27725</v>
      </c>
      <c r="BD638" s="107">
        <v>307.22257</v>
      </c>
      <c r="BE638" s="107"/>
      <c r="BF638" s="107"/>
      <c r="BG638" s="107"/>
      <c r="BH638" s="107"/>
      <c r="BI638" s="107"/>
      <c r="BJ638" s="107">
        <v>1800.94723</v>
      </c>
      <c r="BK638" s="107"/>
      <c r="BL638" s="107"/>
      <c r="BM638" s="107"/>
      <c r="BN638" s="107"/>
      <c r="BO638" s="107"/>
      <c r="BP638" s="107"/>
      <c r="BQ638" s="109"/>
      <c r="BR638" s="109"/>
      <c r="BS638" s="109"/>
      <c r="BT638" s="109"/>
      <c r="BU638" s="138"/>
    </row>
    <row r="639" spans="1:73" ht="38.25" customHeight="1" outlineLevel="2">
      <c r="A639" s="24" t="s">
        <v>1051</v>
      </c>
      <c r="B639" s="19" t="s">
        <v>561</v>
      </c>
      <c r="C639" s="20" t="s">
        <v>710</v>
      </c>
      <c r="D639" s="209" t="s">
        <v>164</v>
      </c>
      <c r="E639" s="210" t="s">
        <v>2440</v>
      </c>
      <c r="F639" s="108">
        <f t="shared" si="109"/>
        <v>2490.10807</v>
      </c>
      <c r="G639" s="106">
        <f t="shared" si="107"/>
        <v>345.80152</v>
      </c>
      <c r="H639" s="106">
        <f t="shared" si="108"/>
        <v>2144.3065500000002</v>
      </c>
      <c r="I639" s="107"/>
      <c r="J639" s="107"/>
      <c r="K639" s="107"/>
      <c r="L639" s="107"/>
      <c r="M639" s="107"/>
      <c r="N639" s="107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7">
        <v>24.92122</v>
      </c>
      <c r="Z639" s="107">
        <v>26.667</v>
      </c>
      <c r="AA639" s="159">
        <v>105.97017</v>
      </c>
      <c r="AB639" s="106">
        <v>59.42193</v>
      </c>
      <c r="AC639" s="107"/>
      <c r="AD639" s="107"/>
      <c r="AE639" s="107"/>
      <c r="AF639" s="107"/>
      <c r="AG639" s="107"/>
      <c r="AH639" s="107"/>
      <c r="AI639" s="107"/>
      <c r="AJ639" s="108">
        <v>288.89452</v>
      </c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7"/>
      <c r="AV639" s="107"/>
      <c r="AW639" s="107"/>
      <c r="AX639" s="107"/>
      <c r="AY639" s="106"/>
      <c r="AZ639" s="107"/>
      <c r="BA639" s="107"/>
      <c r="BB639" s="107"/>
      <c r="BC639" s="107">
        <v>214.91013</v>
      </c>
      <c r="BD639" s="107">
        <v>210.74176</v>
      </c>
      <c r="BE639" s="107"/>
      <c r="BF639" s="107"/>
      <c r="BG639" s="107"/>
      <c r="BH639" s="107"/>
      <c r="BI639" s="107"/>
      <c r="BJ639" s="107">
        <v>1558.58134</v>
      </c>
      <c r="BK639" s="107"/>
      <c r="BL639" s="107"/>
      <c r="BM639" s="107"/>
      <c r="BN639" s="107"/>
      <c r="BO639" s="107"/>
      <c r="BP639" s="107"/>
      <c r="BQ639" s="109"/>
      <c r="BR639" s="109"/>
      <c r="BS639" s="109"/>
      <c r="BT639" s="109"/>
      <c r="BU639" s="138"/>
    </row>
    <row r="640" spans="1:73" ht="33" customHeight="1" outlineLevel="2">
      <c r="A640" s="35" t="s">
        <v>1051</v>
      </c>
      <c r="B640" s="37" t="s">
        <v>672</v>
      </c>
      <c r="C640" s="20" t="s">
        <v>934</v>
      </c>
      <c r="D640" s="218" t="s">
        <v>673</v>
      </c>
      <c r="E640" s="203" t="s">
        <v>2441</v>
      </c>
      <c r="F640" s="108">
        <f t="shared" si="109"/>
        <v>430.86724</v>
      </c>
      <c r="G640" s="106">
        <f t="shared" si="107"/>
        <v>0</v>
      </c>
      <c r="H640" s="106">
        <f t="shared" si="108"/>
        <v>430.86724</v>
      </c>
      <c r="I640" s="107"/>
      <c r="J640" s="107"/>
      <c r="K640" s="107"/>
      <c r="L640" s="107"/>
      <c r="M640" s="107">
        <v>93.51917</v>
      </c>
      <c r="N640" s="107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7"/>
      <c r="Z640" s="107"/>
      <c r="AA640" s="106"/>
      <c r="AB640" s="106"/>
      <c r="AC640" s="107"/>
      <c r="AD640" s="107"/>
      <c r="AE640" s="107"/>
      <c r="AF640" s="107"/>
      <c r="AG640" s="107"/>
      <c r="AH640" s="107"/>
      <c r="AI640" s="107"/>
      <c r="AJ640" s="108">
        <v>0</v>
      </c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7"/>
      <c r="AV640" s="107"/>
      <c r="AW640" s="107"/>
      <c r="AX640" s="107"/>
      <c r="AY640" s="106"/>
      <c r="AZ640" s="107"/>
      <c r="BA640" s="107"/>
      <c r="BB640" s="107"/>
      <c r="BC640" s="107"/>
      <c r="BD640" s="107"/>
      <c r="BE640" s="107"/>
      <c r="BF640" s="107"/>
      <c r="BG640" s="107"/>
      <c r="BH640" s="107"/>
      <c r="BI640" s="107"/>
      <c r="BJ640" s="107">
        <v>300.5392</v>
      </c>
      <c r="BK640" s="107"/>
      <c r="BL640" s="107"/>
      <c r="BM640" s="107"/>
      <c r="BN640" s="107">
        <v>36.80887</v>
      </c>
      <c r="BO640" s="107"/>
      <c r="BP640" s="107"/>
      <c r="BQ640" s="109"/>
      <c r="BR640" s="109"/>
      <c r="BS640" s="109"/>
      <c r="BT640" s="109"/>
      <c r="BU640" s="138"/>
    </row>
    <row r="641" spans="1:73" ht="35.25" customHeight="1" outlineLevel="2">
      <c r="A641" s="35" t="s">
        <v>1051</v>
      </c>
      <c r="B641" s="37" t="s">
        <v>244</v>
      </c>
      <c r="C641" s="20" t="s">
        <v>934</v>
      </c>
      <c r="D641" s="218" t="s">
        <v>1592</v>
      </c>
      <c r="E641" s="203" t="s">
        <v>2801</v>
      </c>
      <c r="F641" s="108">
        <f t="shared" si="109"/>
        <v>2114.52744</v>
      </c>
      <c r="G641" s="106">
        <f t="shared" si="107"/>
        <v>0</v>
      </c>
      <c r="H641" s="106">
        <f t="shared" si="108"/>
        <v>2114.52744</v>
      </c>
      <c r="I641" s="107"/>
      <c r="J641" s="107"/>
      <c r="K641" s="107"/>
      <c r="L641" s="107"/>
      <c r="M641" s="107"/>
      <c r="N641" s="107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7"/>
      <c r="Z641" s="107"/>
      <c r="AA641" s="106"/>
      <c r="AB641" s="106"/>
      <c r="AC641" s="107"/>
      <c r="AD641" s="107"/>
      <c r="AE641" s="107"/>
      <c r="AF641" s="107"/>
      <c r="AG641" s="107"/>
      <c r="AH641" s="107"/>
      <c r="AI641" s="107"/>
      <c r="AJ641" s="108">
        <v>0</v>
      </c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7"/>
      <c r="AV641" s="107"/>
      <c r="AW641" s="107"/>
      <c r="AX641" s="107"/>
      <c r="AY641" s="106"/>
      <c r="AZ641" s="107"/>
      <c r="BA641" s="107"/>
      <c r="BB641" s="107"/>
      <c r="BC641" s="107"/>
      <c r="BD641" s="107"/>
      <c r="BE641" s="107"/>
      <c r="BF641" s="107"/>
      <c r="BG641" s="107"/>
      <c r="BH641" s="107"/>
      <c r="BI641" s="107"/>
      <c r="BJ641" s="107">
        <v>116.44055</v>
      </c>
      <c r="BK641" s="107"/>
      <c r="BL641" s="107"/>
      <c r="BM641" s="107"/>
      <c r="BN641" s="107">
        <v>1998.08689</v>
      </c>
      <c r="BO641" s="107"/>
      <c r="BP641" s="107"/>
      <c r="BQ641" s="109"/>
      <c r="BR641" s="109"/>
      <c r="BS641" s="109"/>
      <c r="BT641" s="109"/>
      <c r="BU641" s="138"/>
    </row>
    <row r="642" spans="1:73" ht="33" customHeight="1" outlineLevel="2">
      <c r="A642" s="35" t="s">
        <v>1051</v>
      </c>
      <c r="B642" s="37" t="s">
        <v>1740</v>
      </c>
      <c r="C642" s="20" t="s">
        <v>934</v>
      </c>
      <c r="D642" s="218" t="s">
        <v>1741</v>
      </c>
      <c r="E642" s="203" t="s">
        <v>2445</v>
      </c>
      <c r="F642" s="108">
        <f t="shared" si="109"/>
        <v>578.13497</v>
      </c>
      <c r="G642" s="106">
        <f t="shared" si="107"/>
        <v>0</v>
      </c>
      <c r="H642" s="106">
        <f t="shared" si="108"/>
        <v>578.13497</v>
      </c>
      <c r="I642" s="107"/>
      <c r="J642" s="107"/>
      <c r="K642" s="107"/>
      <c r="L642" s="107"/>
      <c r="M642" s="107"/>
      <c r="N642" s="107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7"/>
      <c r="Z642" s="107"/>
      <c r="AA642" s="106"/>
      <c r="AB642" s="106"/>
      <c r="AC642" s="107"/>
      <c r="AD642" s="107"/>
      <c r="AE642" s="107"/>
      <c r="AF642" s="107"/>
      <c r="AG642" s="107"/>
      <c r="AH642" s="107"/>
      <c r="AI642" s="107"/>
      <c r="AJ642" s="108">
        <v>0</v>
      </c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7"/>
      <c r="AV642" s="107"/>
      <c r="AW642" s="107"/>
      <c r="AX642" s="107"/>
      <c r="AY642" s="106"/>
      <c r="AZ642" s="107"/>
      <c r="BA642" s="107"/>
      <c r="BB642" s="107"/>
      <c r="BC642" s="107"/>
      <c r="BD642" s="107"/>
      <c r="BE642" s="107"/>
      <c r="BF642" s="107"/>
      <c r="BG642" s="107"/>
      <c r="BH642" s="107"/>
      <c r="BI642" s="107"/>
      <c r="BJ642" s="107"/>
      <c r="BK642" s="107"/>
      <c r="BL642" s="107"/>
      <c r="BM642" s="107"/>
      <c r="BN642" s="107">
        <v>578.13497</v>
      </c>
      <c r="BO642" s="107"/>
      <c r="BP642" s="107"/>
      <c r="BQ642" s="109"/>
      <c r="BR642" s="109"/>
      <c r="BS642" s="109"/>
      <c r="BT642" s="109"/>
      <c r="BU642" s="138"/>
    </row>
    <row r="643" spans="1:73" ht="45" customHeight="1" outlineLevel="2">
      <c r="A643" s="24" t="s">
        <v>1051</v>
      </c>
      <c r="B643" s="37" t="s">
        <v>674</v>
      </c>
      <c r="C643" s="20" t="s">
        <v>934</v>
      </c>
      <c r="D643" s="218" t="s">
        <v>1305</v>
      </c>
      <c r="E643" s="203" t="s">
        <v>2443</v>
      </c>
      <c r="F643" s="108">
        <f t="shared" si="109"/>
        <v>2118.20232</v>
      </c>
      <c r="G643" s="106">
        <f t="shared" si="107"/>
        <v>0</v>
      </c>
      <c r="H643" s="106">
        <f t="shared" si="108"/>
        <v>2118.20232</v>
      </c>
      <c r="I643" s="107"/>
      <c r="J643" s="107"/>
      <c r="K643" s="107"/>
      <c r="L643" s="107"/>
      <c r="M643" s="107"/>
      <c r="N643" s="107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7"/>
      <c r="Z643" s="107"/>
      <c r="AA643" s="106"/>
      <c r="AB643" s="106"/>
      <c r="AC643" s="107"/>
      <c r="AD643" s="107"/>
      <c r="AE643" s="107"/>
      <c r="AF643" s="107"/>
      <c r="AG643" s="107"/>
      <c r="AH643" s="107"/>
      <c r="AI643" s="107"/>
      <c r="AJ643" s="108">
        <v>0</v>
      </c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7"/>
      <c r="AV643" s="107"/>
      <c r="AW643" s="107"/>
      <c r="AX643" s="107"/>
      <c r="AY643" s="106"/>
      <c r="AZ643" s="107"/>
      <c r="BA643" s="107">
        <f>144.0678+20.51148</f>
        <v>164.57928</v>
      </c>
      <c r="BB643" s="107"/>
      <c r="BC643" s="107"/>
      <c r="BD643" s="107"/>
      <c r="BE643" s="107"/>
      <c r="BF643" s="107"/>
      <c r="BG643" s="107"/>
      <c r="BH643" s="107"/>
      <c r="BI643" s="107"/>
      <c r="BJ643" s="107"/>
      <c r="BK643" s="107"/>
      <c r="BL643" s="107"/>
      <c r="BM643" s="107"/>
      <c r="BN643" s="107">
        <v>1953.62304</v>
      </c>
      <c r="BO643" s="107"/>
      <c r="BP643" s="107"/>
      <c r="BQ643" s="109"/>
      <c r="BR643" s="109"/>
      <c r="BS643" s="109"/>
      <c r="BT643" s="109"/>
      <c r="BU643" s="138"/>
    </row>
    <row r="644" spans="1:73" ht="33.75" customHeight="1" outlineLevel="2">
      <c r="A644" s="24" t="s">
        <v>1051</v>
      </c>
      <c r="B644" s="37" t="s">
        <v>1306</v>
      </c>
      <c r="C644" s="20" t="s">
        <v>934</v>
      </c>
      <c r="D644" s="218" t="s">
        <v>1307</v>
      </c>
      <c r="E644" s="203" t="s">
        <v>2442</v>
      </c>
      <c r="F644" s="108">
        <f t="shared" si="109"/>
        <v>877.53248</v>
      </c>
      <c r="G644" s="106">
        <f t="shared" si="107"/>
        <v>0</v>
      </c>
      <c r="H644" s="106">
        <f t="shared" si="108"/>
        <v>877.53248</v>
      </c>
      <c r="I644" s="107"/>
      <c r="J644" s="107"/>
      <c r="K644" s="107"/>
      <c r="L644" s="107"/>
      <c r="M644" s="107"/>
      <c r="N644" s="107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7"/>
      <c r="Z644" s="107"/>
      <c r="AA644" s="106"/>
      <c r="AB644" s="106"/>
      <c r="AC644" s="107"/>
      <c r="AD644" s="107"/>
      <c r="AE644" s="107"/>
      <c r="AF644" s="107"/>
      <c r="AG644" s="107"/>
      <c r="AH644" s="107"/>
      <c r="AI644" s="107"/>
      <c r="AJ644" s="108">
        <v>0</v>
      </c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7"/>
      <c r="AV644" s="107"/>
      <c r="AW644" s="107"/>
      <c r="AX644" s="107"/>
      <c r="AY644" s="106"/>
      <c r="AZ644" s="107"/>
      <c r="BA644" s="107"/>
      <c r="BB644" s="107"/>
      <c r="BC644" s="107"/>
      <c r="BD644" s="107"/>
      <c r="BE644" s="107"/>
      <c r="BF644" s="107"/>
      <c r="BG644" s="107"/>
      <c r="BH644" s="107"/>
      <c r="BI644" s="107"/>
      <c r="BJ644" s="107"/>
      <c r="BK644" s="107"/>
      <c r="BL644" s="107"/>
      <c r="BM644" s="107"/>
      <c r="BN644" s="107">
        <v>877.53248</v>
      </c>
      <c r="BO644" s="107"/>
      <c r="BP644" s="107"/>
      <c r="BQ644" s="109"/>
      <c r="BR644" s="109"/>
      <c r="BS644" s="109"/>
      <c r="BT644" s="109"/>
      <c r="BU644" s="138"/>
    </row>
    <row r="645" spans="1:73" ht="31.5" customHeight="1" outlineLevel="2">
      <c r="A645" s="24" t="s">
        <v>1051</v>
      </c>
      <c r="B645" s="37" t="s">
        <v>475</v>
      </c>
      <c r="C645" s="20" t="s">
        <v>934</v>
      </c>
      <c r="D645" s="218" t="s">
        <v>653</v>
      </c>
      <c r="E645" s="203" t="s">
        <v>2444</v>
      </c>
      <c r="F645" s="108">
        <f t="shared" si="109"/>
        <v>1298.6977</v>
      </c>
      <c r="G645" s="106">
        <f t="shared" si="107"/>
        <v>1050.51036</v>
      </c>
      <c r="H645" s="106">
        <f t="shared" si="108"/>
        <v>248.18734</v>
      </c>
      <c r="I645" s="107"/>
      <c r="J645" s="107"/>
      <c r="K645" s="107"/>
      <c r="L645" s="107"/>
      <c r="M645" s="107"/>
      <c r="N645" s="107"/>
      <c r="O645" s="106">
        <v>1050.51036</v>
      </c>
      <c r="P645" s="106">
        <v>47.17417</v>
      </c>
      <c r="Q645" s="106"/>
      <c r="R645" s="106"/>
      <c r="S645" s="106"/>
      <c r="T645" s="106"/>
      <c r="U645" s="106"/>
      <c r="V645" s="106"/>
      <c r="W645" s="106"/>
      <c r="X645" s="106"/>
      <c r="Y645" s="107"/>
      <c r="Z645" s="107"/>
      <c r="AA645" s="106"/>
      <c r="AB645" s="106"/>
      <c r="AC645" s="107"/>
      <c r="AD645" s="107"/>
      <c r="AE645" s="107"/>
      <c r="AF645" s="107"/>
      <c r="AG645" s="107"/>
      <c r="AH645" s="107"/>
      <c r="AI645" s="107"/>
      <c r="AJ645" s="108">
        <v>0</v>
      </c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7"/>
      <c r="AV645" s="107"/>
      <c r="AW645" s="107"/>
      <c r="AX645" s="107"/>
      <c r="AY645" s="106"/>
      <c r="AZ645" s="107"/>
      <c r="BA645" s="107"/>
      <c r="BB645" s="107"/>
      <c r="BC645" s="107"/>
      <c r="BD645" s="107"/>
      <c r="BE645" s="107"/>
      <c r="BF645" s="107"/>
      <c r="BG645" s="107"/>
      <c r="BH645" s="107"/>
      <c r="BI645" s="107"/>
      <c r="BJ645" s="107">
        <v>201.01317</v>
      </c>
      <c r="BK645" s="107"/>
      <c r="BL645" s="107"/>
      <c r="BM645" s="107"/>
      <c r="BN645" s="107"/>
      <c r="BO645" s="107"/>
      <c r="BP645" s="107"/>
      <c r="BQ645" s="109"/>
      <c r="BR645" s="109"/>
      <c r="BS645" s="109"/>
      <c r="BT645" s="109"/>
      <c r="BU645" s="138"/>
    </row>
    <row r="646" spans="1:73" ht="40.5" outlineLevel="2">
      <c r="A646" s="35" t="s">
        <v>1051</v>
      </c>
      <c r="B646" s="37" t="s">
        <v>1264</v>
      </c>
      <c r="C646" s="20" t="s">
        <v>1338</v>
      </c>
      <c r="D646" s="218" t="s">
        <v>2449</v>
      </c>
      <c r="E646" s="203" t="s">
        <v>2448</v>
      </c>
      <c r="F646" s="108">
        <f t="shared" si="109"/>
        <v>216.4712</v>
      </c>
      <c r="G646" s="106">
        <f t="shared" si="107"/>
        <v>0</v>
      </c>
      <c r="H646" s="106">
        <f t="shared" si="108"/>
        <v>216.4712</v>
      </c>
      <c r="I646" s="107"/>
      <c r="J646" s="107"/>
      <c r="K646" s="107"/>
      <c r="L646" s="107"/>
      <c r="M646" s="107"/>
      <c r="N646" s="107"/>
      <c r="O646" s="106"/>
      <c r="P646" s="106"/>
      <c r="Q646" s="106"/>
      <c r="R646" s="106">
        <v>216.4712</v>
      </c>
      <c r="S646" s="106"/>
      <c r="T646" s="106"/>
      <c r="U646" s="106"/>
      <c r="V646" s="106"/>
      <c r="W646" s="106"/>
      <c r="X646" s="106"/>
      <c r="Y646" s="107"/>
      <c r="Z646" s="107"/>
      <c r="AA646" s="106"/>
      <c r="AB646" s="106"/>
      <c r="AC646" s="107"/>
      <c r="AD646" s="107"/>
      <c r="AE646" s="107"/>
      <c r="AF646" s="107"/>
      <c r="AG646" s="107"/>
      <c r="AH646" s="107"/>
      <c r="AI646" s="107"/>
      <c r="AJ646" s="108">
        <v>0</v>
      </c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7"/>
      <c r="AV646" s="107"/>
      <c r="AW646" s="107"/>
      <c r="AX646" s="107"/>
      <c r="AY646" s="106"/>
      <c r="AZ646" s="107"/>
      <c r="BA646" s="107"/>
      <c r="BB646" s="107"/>
      <c r="BC646" s="107"/>
      <c r="BD646" s="107"/>
      <c r="BE646" s="107"/>
      <c r="BF646" s="107"/>
      <c r="BG646" s="107"/>
      <c r="BH646" s="107"/>
      <c r="BI646" s="107"/>
      <c r="BJ646" s="107"/>
      <c r="BK646" s="107"/>
      <c r="BL646" s="107"/>
      <c r="BM646" s="107"/>
      <c r="BN646" s="107"/>
      <c r="BO646" s="107"/>
      <c r="BP646" s="107"/>
      <c r="BQ646" s="109"/>
      <c r="BR646" s="109"/>
      <c r="BS646" s="109"/>
      <c r="BT646" s="109"/>
      <c r="BU646" s="138"/>
    </row>
    <row r="647" spans="1:73" ht="39.75" customHeight="1" outlineLevel="2">
      <c r="A647" s="35" t="s">
        <v>1051</v>
      </c>
      <c r="B647" s="19" t="s">
        <v>1370</v>
      </c>
      <c r="C647" s="20" t="s">
        <v>1338</v>
      </c>
      <c r="D647" s="218" t="s">
        <v>1371</v>
      </c>
      <c r="E647" s="203" t="s">
        <v>2446</v>
      </c>
      <c r="F647" s="108">
        <f t="shared" si="109"/>
        <v>322.2288</v>
      </c>
      <c r="G647" s="106">
        <f t="shared" si="107"/>
        <v>0</v>
      </c>
      <c r="H647" s="106">
        <f t="shared" si="108"/>
        <v>322.2288</v>
      </c>
      <c r="I647" s="107"/>
      <c r="J647" s="107"/>
      <c r="K647" s="107"/>
      <c r="L647" s="107"/>
      <c r="M647" s="107"/>
      <c r="N647" s="107"/>
      <c r="O647" s="106"/>
      <c r="P647" s="106"/>
      <c r="Q647" s="106"/>
      <c r="R647" s="106">
        <v>322.2288</v>
      </c>
      <c r="S647" s="106"/>
      <c r="T647" s="106"/>
      <c r="U647" s="106"/>
      <c r="V647" s="106"/>
      <c r="W647" s="106"/>
      <c r="X647" s="106"/>
      <c r="Y647" s="107"/>
      <c r="Z647" s="107"/>
      <c r="AA647" s="106"/>
      <c r="AB647" s="106"/>
      <c r="AC647" s="107"/>
      <c r="AD647" s="107"/>
      <c r="AE647" s="107"/>
      <c r="AF647" s="107"/>
      <c r="AG647" s="107"/>
      <c r="AH647" s="107"/>
      <c r="AI647" s="107"/>
      <c r="AJ647" s="108">
        <v>0</v>
      </c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7"/>
      <c r="AV647" s="107"/>
      <c r="AW647" s="107"/>
      <c r="AX647" s="107"/>
      <c r="AY647" s="106"/>
      <c r="AZ647" s="107"/>
      <c r="BA647" s="107"/>
      <c r="BB647" s="107"/>
      <c r="BC647" s="107"/>
      <c r="BD647" s="107"/>
      <c r="BE647" s="107"/>
      <c r="BF647" s="107"/>
      <c r="BG647" s="107"/>
      <c r="BH647" s="107"/>
      <c r="BI647" s="107"/>
      <c r="BJ647" s="107"/>
      <c r="BK647" s="107"/>
      <c r="BL647" s="107"/>
      <c r="BM647" s="107"/>
      <c r="BN647" s="107"/>
      <c r="BO647" s="107"/>
      <c r="BP647" s="107"/>
      <c r="BQ647" s="109"/>
      <c r="BR647" s="109"/>
      <c r="BS647" s="109"/>
      <c r="BT647" s="109"/>
      <c r="BU647" s="138"/>
    </row>
    <row r="648" spans="1:73" ht="49.5" customHeight="1" outlineLevel="2">
      <c r="A648" s="35" t="s">
        <v>1051</v>
      </c>
      <c r="B648" s="37" t="s">
        <v>669</v>
      </c>
      <c r="C648" s="20" t="s">
        <v>1037</v>
      </c>
      <c r="D648" s="218" t="s">
        <v>1112</v>
      </c>
      <c r="E648" s="203" t="s">
        <v>2452</v>
      </c>
      <c r="F648" s="108">
        <f t="shared" si="109"/>
        <v>166.08852000000002</v>
      </c>
      <c r="G648" s="106">
        <f t="shared" si="107"/>
        <v>0</v>
      </c>
      <c r="H648" s="106">
        <f t="shared" si="108"/>
        <v>166.08852000000002</v>
      </c>
      <c r="I648" s="107"/>
      <c r="J648" s="107"/>
      <c r="K648" s="107"/>
      <c r="L648" s="107"/>
      <c r="M648" s="107"/>
      <c r="N648" s="107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7"/>
      <c r="Z648" s="107"/>
      <c r="AA648" s="106"/>
      <c r="AB648" s="106"/>
      <c r="AC648" s="107"/>
      <c r="AD648" s="107"/>
      <c r="AE648" s="107"/>
      <c r="AF648" s="107"/>
      <c r="AG648" s="107"/>
      <c r="AH648" s="107"/>
      <c r="AI648" s="107"/>
      <c r="AJ648" s="108">
        <v>166.08852000000002</v>
      </c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7"/>
      <c r="AV648" s="107"/>
      <c r="AW648" s="107"/>
      <c r="AX648" s="107"/>
      <c r="AY648" s="106"/>
      <c r="AZ648" s="107"/>
      <c r="BA648" s="107"/>
      <c r="BB648" s="107"/>
      <c r="BC648" s="107"/>
      <c r="BD648" s="107"/>
      <c r="BE648" s="107"/>
      <c r="BF648" s="107"/>
      <c r="BG648" s="107"/>
      <c r="BH648" s="107"/>
      <c r="BI648" s="107"/>
      <c r="BJ648" s="107"/>
      <c r="BK648" s="107"/>
      <c r="BL648" s="107"/>
      <c r="BM648" s="107"/>
      <c r="BN648" s="107"/>
      <c r="BO648" s="107"/>
      <c r="BP648" s="107"/>
      <c r="BQ648" s="109"/>
      <c r="BR648" s="109"/>
      <c r="BS648" s="109"/>
      <c r="BT648" s="109"/>
      <c r="BU648" s="138"/>
    </row>
    <row r="649" spans="1:73" ht="60.75" outlineLevel="2">
      <c r="A649" s="35" t="s">
        <v>1051</v>
      </c>
      <c r="B649" s="37" t="s">
        <v>218</v>
      </c>
      <c r="C649" s="20" t="s">
        <v>1037</v>
      </c>
      <c r="D649" s="218" t="s">
        <v>2450</v>
      </c>
      <c r="E649" s="203" t="s">
        <v>2447</v>
      </c>
      <c r="F649" s="108">
        <f t="shared" si="109"/>
        <v>5038.55656</v>
      </c>
      <c r="G649" s="106">
        <f t="shared" si="107"/>
        <v>0</v>
      </c>
      <c r="H649" s="106">
        <f t="shared" si="108"/>
        <v>5038.55656</v>
      </c>
      <c r="I649" s="107"/>
      <c r="J649" s="107"/>
      <c r="K649" s="107"/>
      <c r="L649" s="107"/>
      <c r="M649" s="107"/>
      <c r="N649" s="107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7"/>
      <c r="Z649" s="107"/>
      <c r="AA649" s="106"/>
      <c r="AB649" s="106"/>
      <c r="AC649" s="107"/>
      <c r="AD649" s="107"/>
      <c r="AE649" s="107"/>
      <c r="AF649" s="107"/>
      <c r="AG649" s="107"/>
      <c r="AH649" s="201">
        <f>320+341.415</f>
        <v>661.415</v>
      </c>
      <c r="AI649" s="107"/>
      <c r="AJ649" s="108">
        <v>42.81976</v>
      </c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7"/>
      <c r="AV649" s="107"/>
      <c r="AW649" s="107"/>
      <c r="AX649" s="107"/>
      <c r="AY649" s="106"/>
      <c r="AZ649" s="107"/>
      <c r="BA649" s="107"/>
      <c r="BB649" s="107"/>
      <c r="BC649" s="107"/>
      <c r="BD649" s="107"/>
      <c r="BE649" s="107"/>
      <c r="BF649" s="107"/>
      <c r="BG649" s="107"/>
      <c r="BH649" s="107"/>
      <c r="BI649" s="107"/>
      <c r="BJ649" s="107"/>
      <c r="BK649" s="107">
        <f>1270.15+2363.6918+700.48</f>
        <v>4334.3218</v>
      </c>
      <c r="BL649" s="107"/>
      <c r="BM649" s="107"/>
      <c r="BN649" s="107"/>
      <c r="BO649" s="107"/>
      <c r="BP649" s="107"/>
      <c r="BQ649" s="109"/>
      <c r="BR649" s="109"/>
      <c r="BS649" s="109"/>
      <c r="BT649" s="109"/>
      <c r="BU649" s="138"/>
    </row>
    <row r="650" spans="1:73" s="32" customFormat="1" ht="21" outlineLevel="1" thickBot="1">
      <c r="A650" s="65" t="s">
        <v>1308</v>
      </c>
      <c r="B650" s="66"/>
      <c r="C650" s="67" t="s">
        <v>1572</v>
      </c>
      <c r="D650" s="231"/>
      <c r="E650" s="232"/>
      <c r="F650" s="127">
        <f>SUBTOTAL(9,F593:F649)</f>
        <v>165493.12130000003</v>
      </c>
      <c r="G650" s="127">
        <f>SUBTOTAL(9,G593:G649)</f>
        <v>56461.46037999998</v>
      </c>
      <c r="H650" s="127">
        <f>SUBTOTAL(9,H593:H649)</f>
        <v>109031.66091999995</v>
      </c>
      <c r="I650" s="127">
        <f aca="true" t="shared" si="110" ref="I650:BJ650">SUBTOTAL(9,I593:I649)</f>
        <v>1068.09724</v>
      </c>
      <c r="J650" s="127">
        <f t="shared" si="110"/>
        <v>242.67833000000002</v>
      </c>
      <c r="K650" s="127">
        <f t="shared" si="110"/>
        <v>7334.425659999999</v>
      </c>
      <c r="L650" s="127">
        <f t="shared" si="110"/>
        <v>1626.12972</v>
      </c>
      <c r="M650" s="127">
        <f t="shared" si="110"/>
        <v>4794.331939999999</v>
      </c>
      <c r="N650" s="127">
        <f t="shared" si="110"/>
        <v>2885.64937</v>
      </c>
      <c r="O650" s="127">
        <f t="shared" si="110"/>
        <v>1088.11923</v>
      </c>
      <c r="P650" s="127">
        <f t="shared" si="110"/>
        <v>65.97858</v>
      </c>
      <c r="Q650" s="127">
        <f t="shared" si="110"/>
        <v>245.41646</v>
      </c>
      <c r="R650" s="127">
        <f t="shared" si="110"/>
        <v>538.7</v>
      </c>
      <c r="S650" s="127">
        <f t="shared" si="110"/>
        <v>588.68929</v>
      </c>
      <c r="T650" s="127">
        <f t="shared" si="110"/>
        <v>216.2446</v>
      </c>
      <c r="U650" s="127">
        <f t="shared" si="110"/>
        <v>2182.32842</v>
      </c>
      <c r="V650" s="127">
        <f t="shared" si="110"/>
        <v>444.70269</v>
      </c>
      <c r="W650" s="127">
        <f t="shared" si="110"/>
        <v>5016.23932</v>
      </c>
      <c r="X650" s="127">
        <f t="shared" si="110"/>
        <v>2618.82812</v>
      </c>
      <c r="Y650" s="127">
        <f t="shared" si="110"/>
        <v>938.65934</v>
      </c>
      <c r="Z650" s="127">
        <f t="shared" si="110"/>
        <v>2085.2210999999998</v>
      </c>
      <c r="AA650" s="127">
        <f t="shared" si="110"/>
        <v>5029.939860000001</v>
      </c>
      <c r="AB650" s="127">
        <f t="shared" si="110"/>
        <v>2650.8121900000006</v>
      </c>
      <c r="AC650" s="127">
        <f t="shared" si="110"/>
        <v>0</v>
      </c>
      <c r="AD650" s="127">
        <f t="shared" si="110"/>
        <v>0</v>
      </c>
      <c r="AE650" s="127">
        <f t="shared" si="110"/>
        <v>513.35</v>
      </c>
      <c r="AF650" s="127">
        <f t="shared" si="110"/>
        <v>1001.5987</v>
      </c>
      <c r="AG650" s="127">
        <f t="shared" si="110"/>
        <v>1173.726</v>
      </c>
      <c r="AH650" s="127">
        <f t="shared" si="110"/>
        <v>661.415</v>
      </c>
      <c r="AI650" s="127">
        <f t="shared" si="110"/>
        <v>0</v>
      </c>
      <c r="AJ650" s="127">
        <f>SUBTOTAL(9,AJ593:AJ649)</f>
        <v>7067.314810000001</v>
      </c>
      <c r="AK650" s="127">
        <f t="shared" si="110"/>
        <v>351.0976</v>
      </c>
      <c r="AL650" s="127">
        <f t="shared" si="110"/>
        <v>0</v>
      </c>
      <c r="AM650" s="127">
        <f t="shared" si="110"/>
        <v>0</v>
      </c>
      <c r="AN650" s="127">
        <f t="shared" si="110"/>
        <v>0</v>
      </c>
      <c r="AO650" s="127">
        <f t="shared" si="110"/>
        <v>6297.6416</v>
      </c>
      <c r="AP650" s="127">
        <f t="shared" si="110"/>
        <v>2610.4</v>
      </c>
      <c r="AQ650" s="127">
        <f t="shared" si="110"/>
        <v>0</v>
      </c>
      <c r="AR650" s="127">
        <f t="shared" si="110"/>
        <v>0</v>
      </c>
      <c r="AS650" s="127">
        <f t="shared" si="110"/>
        <v>0</v>
      </c>
      <c r="AT650" s="127">
        <f t="shared" si="110"/>
        <v>0</v>
      </c>
      <c r="AU650" s="127">
        <f t="shared" si="110"/>
        <v>0</v>
      </c>
      <c r="AV650" s="127">
        <f t="shared" si="110"/>
        <v>1847.0400000000002</v>
      </c>
      <c r="AW650" s="127">
        <f t="shared" si="110"/>
        <v>0</v>
      </c>
      <c r="AX650" s="127">
        <f t="shared" si="110"/>
        <v>4755.52</v>
      </c>
      <c r="AY650" s="127">
        <f t="shared" si="110"/>
        <v>5688.18498</v>
      </c>
      <c r="AZ650" s="127">
        <f t="shared" si="110"/>
        <v>991.9620000000001</v>
      </c>
      <c r="BA650" s="127">
        <f t="shared" si="110"/>
        <v>11267.932929999999</v>
      </c>
      <c r="BB650" s="127">
        <f t="shared" si="110"/>
        <v>0</v>
      </c>
      <c r="BC650" s="127">
        <f t="shared" si="110"/>
        <v>14734.440419999999</v>
      </c>
      <c r="BD650" s="127">
        <f t="shared" si="110"/>
        <v>14459.350190000005</v>
      </c>
      <c r="BE650" s="127">
        <f t="shared" si="110"/>
        <v>0</v>
      </c>
      <c r="BF650" s="127">
        <f t="shared" si="110"/>
        <v>0</v>
      </c>
      <c r="BG650" s="127">
        <f t="shared" si="110"/>
        <v>0</v>
      </c>
      <c r="BH650" s="127">
        <f t="shared" si="110"/>
        <v>0</v>
      </c>
      <c r="BI650" s="127">
        <f t="shared" si="110"/>
        <v>0</v>
      </c>
      <c r="BJ650" s="127">
        <f t="shared" si="110"/>
        <v>32980.66420000001</v>
      </c>
      <c r="BK650" s="127"/>
      <c r="BL650" s="127">
        <f aca="true" t="shared" si="111" ref="BL650:BU650">SUBTOTAL(9,BL593:BL649)</f>
        <v>0</v>
      </c>
      <c r="BM650" s="127">
        <f t="shared" si="111"/>
        <v>625.27336</v>
      </c>
      <c r="BN650" s="127">
        <f t="shared" si="111"/>
        <v>5444.18625</v>
      </c>
      <c r="BO650" s="127">
        <f t="shared" si="111"/>
        <v>0</v>
      </c>
      <c r="BP650" s="127">
        <f t="shared" si="111"/>
        <v>0</v>
      </c>
      <c r="BQ650" s="127">
        <f t="shared" si="111"/>
        <v>112.5</v>
      </c>
      <c r="BR650" s="127">
        <f t="shared" si="111"/>
        <v>6914.01</v>
      </c>
      <c r="BS650" s="127">
        <f t="shared" si="111"/>
        <v>0</v>
      </c>
      <c r="BT650" s="127">
        <f t="shared" si="111"/>
        <v>0</v>
      </c>
      <c r="BU650" s="127">
        <f t="shared" si="111"/>
        <v>0</v>
      </c>
    </row>
    <row r="651" spans="1:73" ht="58.5" customHeight="1" outlineLevel="2">
      <c r="A651" s="2" t="s">
        <v>1309</v>
      </c>
      <c r="B651" s="33" t="s">
        <v>1031</v>
      </c>
      <c r="C651" s="4" t="s">
        <v>1496</v>
      </c>
      <c r="D651" s="230" t="s">
        <v>1032</v>
      </c>
      <c r="E651" s="203" t="s">
        <v>2455</v>
      </c>
      <c r="F651" s="108">
        <f t="shared" si="109"/>
        <v>18650.15595</v>
      </c>
      <c r="G651" s="106">
        <f>I651+K651+O651+S651+U651+W651+Y651+AA651+AC651+AE651+AR651+AX651+BC651+BG651+BP651+BR651+BT651+AO651</f>
        <v>7598.50265</v>
      </c>
      <c r="H651" s="106">
        <f>J651+L651+M651+N651+P651+Q651+R651+T651+V651+X651+Z651+AB651+AD651+AF651+AG651+AJ651+AL651+AS651+AT651+AU651+AV651+AW651+AY651+AZ651+BA651+BB651+BD651+BE651+BF651+BH651+BI651+BJ651+BL651+BM651+BN651+BO651+BQ651+BS651+BU651+AH651+AI651+AK651+AM651+AN651+AP651+AQ651+BK651</f>
        <v>11051.6533</v>
      </c>
      <c r="I651" s="119"/>
      <c r="J651" s="119"/>
      <c r="K651" s="119">
        <v>1531.73993</v>
      </c>
      <c r="L651" s="119">
        <v>300.22299</v>
      </c>
      <c r="M651" s="119"/>
      <c r="N651" s="119"/>
      <c r="O651" s="120"/>
      <c r="P651" s="120"/>
      <c r="Q651" s="120"/>
      <c r="R651" s="120"/>
      <c r="S651" s="120">
        <f>144.1047+275.24761</f>
        <v>419.35231</v>
      </c>
      <c r="T651" s="120">
        <v>127.07644</v>
      </c>
      <c r="U651" s="120"/>
      <c r="V651" s="120"/>
      <c r="W651" s="120"/>
      <c r="X651" s="120"/>
      <c r="Y651" s="119">
        <v>114</v>
      </c>
      <c r="Z651" s="119">
        <v>299.475</v>
      </c>
      <c r="AA651" s="163">
        <v>755.84114</v>
      </c>
      <c r="AB651" s="120">
        <v>410.0113</v>
      </c>
      <c r="AC651" s="119"/>
      <c r="AD651" s="119"/>
      <c r="AE651" s="119"/>
      <c r="AF651" s="119"/>
      <c r="AG651" s="119">
        <v>58.0362</v>
      </c>
      <c r="AH651" s="119"/>
      <c r="AI651" s="119"/>
      <c r="AJ651" s="108">
        <v>833.5045600000001</v>
      </c>
      <c r="AK651" s="119">
        <v>32.4065</v>
      </c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  <c r="AX651" s="119">
        <v>656.96</v>
      </c>
      <c r="AY651" s="120">
        <v>1313.08404</v>
      </c>
      <c r="AZ651" s="119"/>
      <c r="BA651" s="119"/>
      <c r="BB651" s="119"/>
      <c r="BC651" s="119">
        <v>4120.60927</v>
      </c>
      <c r="BD651" s="119">
        <v>4041.07038</v>
      </c>
      <c r="BE651" s="119">
        <v>730.95</v>
      </c>
      <c r="BF651" s="119"/>
      <c r="BG651" s="119"/>
      <c r="BH651" s="119"/>
      <c r="BI651" s="119"/>
      <c r="BJ651" s="119">
        <v>2660.98217</v>
      </c>
      <c r="BK651" s="119"/>
      <c r="BL651" s="119"/>
      <c r="BM651" s="119">
        <v>244.83372</v>
      </c>
      <c r="BN651" s="119"/>
      <c r="BO651" s="119"/>
      <c r="BP651" s="119"/>
      <c r="BQ651" s="121"/>
      <c r="BR651" s="121"/>
      <c r="BS651" s="121"/>
      <c r="BT651" s="121"/>
      <c r="BU651" s="140"/>
    </row>
    <row r="652" spans="1:73" ht="39.75" customHeight="1" outlineLevel="2">
      <c r="A652" s="35" t="s">
        <v>1309</v>
      </c>
      <c r="B652" s="37" t="s">
        <v>124</v>
      </c>
      <c r="C652" s="20" t="s">
        <v>1496</v>
      </c>
      <c r="D652" s="218" t="s">
        <v>538</v>
      </c>
      <c r="E652" s="203" t="s">
        <v>2458</v>
      </c>
      <c r="F652" s="108">
        <f t="shared" si="109"/>
        <v>25999.77964</v>
      </c>
      <c r="G652" s="106">
        <f aca="true" t="shared" si="112" ref="G652:G665">I652+K652+O652+S652+U652+W652+Y652+AA652+AC652+AE652+AR652+AX652+BC652+BG652+BP652+BR652+BT652+AO652</f>
        <v>13808.17929</v>
      </c>
      <c r="H652" s="106">
        <f aca="true" t="shared" si="113" ref="H652:H665">J652+L652+M652+N652+P652+Q652+R652+T652+V652+X652+Z652+AB652+AD652+AF652+AG652+AJ652+AL652+AS652+AT652+AU652+AV652+AW652+AY652+AZ652+BA652+BB652+BD652+BE652+BF652+BH652+BI652+BJ652+BL652+BM652+BN652+BO652+BQ652+BS652+BU652+AH652+AI652+AK652+AM652+AN652+AP652+AQ652+BK652</f>
        <v>12191.60035</v>
      </c>
      <c r="I652" s="107"/>
      <c r="J652" s="107"/>
      <c r="K652" s="107">
        <v>2034.78076</v>
      </c>
      <c r="L652" s="107">
        <v>696.60249</v>
      </c>
      <c r="M652" s="107"/>
      <c r="N652" s="107"/>
      <c r="O652" s="106"/>
      <c r="P652" s="106"/>
      <c r="Q652" s="106"/>
      <c r="R652" s="106"/>
      <c r="S652" s="106"/>
      <c r="T652" s="106"/>
      <c r="U652" s="106"/>
      <c r="V652" s="106"/>
      <c r="W652" s="106">
        <v>4793.44962</v>
      </c>
      <c r="X652" s="106">
        <v>2502.51632</v>
      </c>
      <c r="Y652" s="107">
        <v>152</v>
      </c>
      <c r="Z652" s="107">
        <v>399.3</v>
      </c>
      <c r="AA652" s="159">
        <v>966.53205</v>
      </c>
      <c r="AB652" s="106">
        <v>802.59216</v>
      </c>
      <c r="AC652" s="107"/>
      <c r="AD652" s="107"/>
      <c r="AE652" s="107"/>
      <c r="AF652" s="107"/>
      <c r="AG652" s="107"/>
      <c r="AH652" s="107"/>
      <c r="AI652" s="107"/>
      <c r="AJ652" s="108">
        <v>1250.7528</v>
      </c>
      <c r="AK652" s="107">
        <v>83.7042</v>
      </c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7"/>
      <c r="AV652" s="107"/>
      <c r="AW652" s="107"/>
      <c r="AX652" s="107"/>
      <c r="AY652" s="106">
        <v>707.85144</v>
      </c>
      <c r="AZ652" s="107"/>
      <c r="BA652" s="107"/>
      <c r="BB652" s="107"/>
      <c r="BC652" s="107">
        <v>5861.41686</v>
      </c>
      <c r="BD652" s="107">
        <v>5748.28094</v>
      </c>
      <c r="BE652" s="107"/>
      <c r="BF652" s="107"/>
      <c r="BG652" s="107"/>
      <c r="BH652" s="107"/>
      <c r="BI652" s="107"/>
      <c r="BJ652" s="107"/>
      <c r="BK652" s="107"/>
      <c r="BL652" s="107"/>
      <c r="BM652" s="107"/>
      <c r="BN652" s="107"/>
      <c r="BO652" s="107"/>
      <c r="BP652" s="107"/>
      <c r="BQ652" s="109"/>
      <c r="BR652" s="109"/>
      <c r="BS652" s="109"/>
      <c r="BT652" s="109"/>
      <c r="BU652" s="138"/>
    </row>
    <row r="653" spans="1:73" ht="39.75" customHeight="1" outlineLevel="2">
      <c r="A653" s="35" t="s">
        <v>1309</v>
      </c>
      <c r="B653" s="37" t="s">
        <v>122</v>
      </c>
      <c r="C653" s="20" t="s">
        <v>1496</v>
      </c>
      <c r="D653" s="218" t="s">
        <v>539</v>
      </c>
      <c r="E653" s="203" t="s">
        <v>2457</v>
      </c>
      <c r="F653" s="108">
        <f t="shared" si="109"/>
        <v>244256.93216000003</v>
      </c>
      <c r="G653" s="106">
        <f t="shared" si="112"/>
        <v>39449.60968000001</v>
      </c>
      <c r="H653" s="106">
        <f t="shared" si="113"/>
        <v>204807.32248</v>
      </c>
      <c r="I653" s="107"/>
      <c r="J653" s="107"/>
      <c r="K653" s="107"/>
      <c r="L653" s="107"/>
      <c r="M653" s="107"/>
      <c r="N653" s="107">
        <v>112875.61662</v>
      </c>
      <c r="O653" s="106"/>
      <c r="P653" s="106"/>
      <c r="Q653" s="106"/>
      <c r="R653" s="106"/>
      <c r="S653" s="106"/>
      <c r="T653" s="106">
        <v>2248.92479</v>
      </c>
      <c r="U653" s="106"/>
      <c r="V653" s="106"/>
      <c r="W653" s="106"/>
      <c r="X653" s="106"/>
      <c r="Y653" s="107">
        <v>641.516</v>
      </c>
      <c r="Z653" s="107">
        <v>3909.34665</v>
      </c>
      <c r="AA653" s="159">
        <v>15131.73679</v>
      </c>
      <c r="AB653" s="106">
        <v>4165.27888</v>
      </c>
      <c r="AC653" s="107"/>
      <c r="AD653" s="107"/>
      <c r="AE653" s="107"/>
      <c r="AF653" s="107"/>
      <c r="AG653" s="107">
        <v>34.1598</v>
      </c>
      <c r="AH653" s="107"/>
      <c r="AI653" s="107"/>
      <c r="AJ653" s="108">
        <v>4785.0974</v>
      </c>
      <c r="AK653" s="107">
        <f>220.5748+233.4645</f>
        <v>454.0393</v>
      </c>
      <c r="AL653" s="107"/>
      <c r="AM653" s="107">
        <v>2393.586</v>
      </c>
      <c r="AN653" s="107">
        <v>13129.27</v>
      </c>
      <c r="AO653" s="107"/>
      <c r="AP653" s="107"/>
      <c r="AQ653" s="107"/>
      <c r="AR653" s="107">
        <v>924.3</v>
      </c>
      <c r="AS653" s="107">
        <v>448.24</v>
      </c>
      <c r="AT653" s="107"/>
      <c r="AU653" s="107"/>
      <c r="AV653" s="107">
        <v>2188.16</v>
      </c>
      <c r="AW653" s="107"/>
      <c r="AX653" s="106">
        <v>3318.88</v>
      </c>
      <c r="AY653" s="106">
        <v>7814.65791</v>
      </c>
      <c r="AZ653" s="107">
        <v>30479.364</v>
      </c>
      <c r="BA653" s="107"/>
      <c r="BB653" s="107"/>
      <c r="BC653" s="107">
        <f>18650.07298+783.10391</f>
        <v>19433.176890000002</v>
      </c>
      <c r="BD653" s="107">
        <f>18290.99114+767.98299</f>
        <v>19058.97413</v>
      </c>
      <c r="BE653" s="107">
        <v>822.607</v>
      </c>
      <c r="BF653" s="107"/>
      <c r="BG653" s="107"/>
      <c r="BH653" s="107"/>
      <c r="BI653" s="107"/>
      <c r="BJ653" s="107"/>
      <c r="BK653" s="107"/>
      <c r="BL653" s="107"/>
      <c r="BM653" s="107"/>
      <c r="BN653" s="107"/>
      <c r="BO653" s="107"/>
      <c r="BP653" s="107"/>
      <c r="BQ653" s="109"/>
      <c r="BR653" s="109"/>
      <c r="BS653" s="109"/>
      <c r="BT653" s="109"/>
      <c r="BU653" s="138"/>
    </row>
    <row r="654" spans="1:73" ht="34.5" customHeight="1" outlineLevel="2">
      <c r="A654" s="35" t="s">
        <v>1309</v>
      </c>
      <c r="B654" s="37" t="s">
        <v>123</v>
      </c>
      <c r="C654" s="20" t="s">
        <v>1496</v>
      </c>
      <c r="D654" s="218" t="s">
        <v>1030</v>
      </c>
      <c r="E654" s="203" t="s">
        <v>2459</v>
      </c>
      <c r="F654" s="108">
        <f t="shared" si="109"/>
        <v>29605.78117</v>
      </c>
      <c r="G654" s="106">
        <f t="shared" si="112"/>
        <v>15202.68969</v>
      </c>
      <c r="H654" s="106">
        <f t="shared" si="113"/>
        <v>14403.09148</v>
      </c>
      <c r="I654" s="107">
        <v>202.67083</v>
      </c>
      <c r="J654" s="107">
        <v>60.80123</v>
      </c>
      <c r="K654" s="107">
        <v>4442.55196</v>
      </c>
      <c r="L654" s="107">
        <v>1563.83718</v>
      </c>
      <c r="M654" s="107"/>
      <c r="N654" s="107"/>
      <c r="O654" s="106"/>
      <c r="P654" s="106"/>
      <c r="Q654" s="106"/>
      <c r="R654" s="106"/>
      <c r="S654" s="106"/>
      <c r="T654" s="106"/>
      <c r="U654" s="106"/>
      <c r="V654" s="106"/>
      <c r="W654" s="106">
        <f>852.04861+2100.13483</f>
        <v>2952.18344</v>
      </c>
      <c r="X654" s="106">
        <f>444.82903+1096.41743</f>
        <v>1541.2464599999998</v>
      </c>
      <c r="Y654" s="107"/>
      <c r="Z654" s="107"/>
      <c r="AA654" s="159">
        <f>579.26388+859.24143</f>
        <v>1438.50531</v>
      </c>
      <c r="AB654" s="106">
        <f>297.10964+440.71263</f>
        <v>737.82227</v>
      </c>
      <c r="AC654" s="107"/>
      <c r="AD654" s="107"/>
      <c r="AE654" s="107"/>
      <c r="AF654" s="107"/>
      <c r="AG654" s="107">
        <v>90.7776</v>
      </c>
      <c r="AH654" s="107"/>
      <c r="AI654" s="107"/>
      <c r="AJ654" s="108">
        <v>1030.56396</v>
      </c>
      <c r="AK654" s="107">
        <v>93.0807</v>
      </c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7"/>
      <c r="AV654" s="107"/>
      <c r="AW654" s="107"/>
      <c r="AX654" s="107">
        <v>2090.32435</v>
      </c>
      <c r="AY654" s="106">
        <v>1360.3092</v>
      </c>
      <c r="AZ654" s="107"/>
      <c r="BA654" s="107"/>
      <c r="BB654" s="107"/>
      <c r="BC654" s="107">
        <v>4076.4538</v>
      </c>
      <c r="BD654" s="107">
        <v>3997.7136</v>
      </c>
      <c r="BE654" s="107"/>
      <c r="BF654" s="107"/>
      <c r="BG654" s="107"/>
      <c r="BH654" s="107"/>
      <c r="BI654" s="107"/>
      <c r="BJ654" s="107">
        <v>3926.93928</v>
      </c>
      <c r="BK654" s="107"/>
      <c r="BL654" s="107"/>
      <c r="BM654" s="107"/>
      <c r="BN654" s="107"/>
      <c r="BO654" s="107"/>
      <c r="BP654" s="107"/>
      <c r="BQ654" s="109"/>
      <c r="BR654" s="109"/>
      <c r="BS654" s="109"/>
      <c r="BT654" s="109"/>
      <c r="BU654" s="138"/>
    </row>
    <row r="655" spans="1:73" ht="36.75" customHeight="1" outlineLevel="2">
      <c r="A655" s="35" t="s">
        <v>1309</v>
      </c>
      <c r="B655" s="37" t="s">
        <v>485</v>
      </c>
      <c r="C655" s="20" t="s">
        <v>1496</v>
      </c>
      <c r="D655" s="218" t="s">
        <v>702</v>
      </c>
      <c r="E655" s="203" t="s">
        <v>2454</v>
      </c>
      <c r="F655" s="108">
        <f t="shared" si="109"/>
        <v>35242.42509999999</v>
      </c>
      <c r="G655" s="106">
        <f t="shared" si="112"/>
        <v>14121.65956</v>
      </c>
      <c r="H655" s="106">
        <f t="shared" si="113"/>
        <v>21120.765539999997</v>
      </c>
      <c r="I655" s="113">
        <v>3354.53098</v>
      </c>
      <c r="J655" s="113">
        <v>839.33275</v>
      </c>
      <c r="K655" s="113">
        <v>1306.73904</v>
      </c>
      <c r="L655" s="113">
        <v>355.01505</v>
      </c>
      <c r="M655" s="113"/>
      <c r="N655" s="113"/>
      <c r="O655" s="114"/>
      <c r="P655" s="114"/>
      <c r="Q655" s="114"/>
      <c r="R655" s="114"/>
      <c r="S655" s="114"/>
      <c r="T655" s="114"/>
      <c r="U655" s="114">
        <v>2796.17511</v>
      </c>
      <c r="V655" s="114">
        <v>0</v>
      </c>
      <c r="W655" s="114">
        <v>2119.86174</v>
      </c>
      <c r="X655" s="114">
        <v>1106.71625</v>
      </c>
      <c r="Y655" s="113"/>
      <c r="Z655" s="113">
        <v>251.559</v>
      </c>
      <c r="AA655" s="162">
        <v>647.72776</v>
      </c>
      <c r="AB655" s="114">
        <v>336.72425</v>
      </c>
      <c r="AC655" s="113"/>
      <c r="AD655" s="113"/>
      <c r="AE655" s="113"/>
      <c r="AF655" s="113"/>
      <c r="AG655" s="113">
        <v>102.3612</v>
      </c>
      <c r="AH655" s="113"/>
      <c r="AI655" s="113"/>
      <c r="AJ655" s="108">
        <v>721.15456</v>
      </c>
      <c r="AK655" s="113">
        <v>72.2352</v>
      </c>
      <c r="AL655" s="113"/>
      <c r="AM655" s="113"/>
      <c r="AN655" s="113"/>
      <c r="AO655" s="113"/>
      <c r="AP655" s="113"/>
      <c r="AQ655" s="113"/>
      <c r="AR655" s="113"/>
      <c r="AS655" s="113"/>
      <c r="AT655" s="113"/>
      <c r="AU655" s="113"/>
      <c r="AV655" s="113"/>
      <c r="AW655" s="113"/>
      <c r="AX655" s="113">
        <v>626.4</v>
      </c>
      <c r="AY655" s="114">
        <v>1483.44179</v>
      </c>
      <c r="AZ655" s="113"/>
      <c r="BA655" s="113">
        <v>6742.53335</v>
      </c>
      <c r="BB655" s="113"/>
      <c r="BC655" s="113">
        <v>3270.22493</v>
      </c>
      <c r="BD655" s="113">
        <v>3207.1119</v>
      </c>
      <c r="BE655" s="113">
        <v>1477.4</v>
      </c>
      <c r="BF655" s="113"/>
      <c r="BG655" s="113"/>
      <c r="BH655" s="113"/>
      <c r="BI655" s="113"/>
      <c r="BJ655" s="113">
        <v>4425.18024</v>
      </c>
      <c r="BK655" s="113"/>
      <c r="BL655" s="113"/>
      <c r="BM655" s="113"/>
      <c r="BN655" s="113"/>
      <c r="BO655" s="113"/>
      <c r="BP655" s="113"/>
      <c r="BQ655" s="115"/>
      <c r="BR655" s="115"/>
      <c r="BS655" s="115"/>
      <c r="BT655" s="115"/>
      <c r="BU655" s="139"/>
    </row>
    <row r="656" spans="1:73" ht="39" customHeight="1" outlineLevel="2">
      <c r="A656" s="35" t="s">
        <v>1309</v>
      </c>
      <c r="B656" s="37" t="s">
        <v>353</v>
      </c>
      <c r="C656" s="20" t="s">
        <v>1496</v>
      </c>
      <c r="D656" s="218">
        <v>2456200063</v>
      </c>
      <c r="E656" s="203" t="s">
        <v>2460</v>
      </c>
      <c r="F656" s="108">
        <f t="shared" si="109"/>
        <v>348.59108000000003</v>
      </c>
      <c r="G656" s="106">
        <f t="shared" si="112"/>
        <v>278.87286</v>
      </c>
      <c r="H656" s="106">
        <f t="shared" si="113"/>
        <v>69.71822</v>
      </c>
      <c r="I656" s="107"/>
      <c r="J656" s="107"/>
      <c r="K656" s="107"/>
      <c r="L656" s="107"/>
      <c r="M656" s="107"/>
      <c r="N656" s="107"/>
      <c r="O656" s="106"/>
      <c r="P656" s="106"/>
      <c r="Q656" s="106"/>
      <c r="R656" s="106"/>
      <c r="S656" s="106"/>
      <c r="T656" s="106"/>
      <c r="U656" s="106">
        <v>278.87286</v>
      </c>
      <c r="V656" s="106">
        <v>69.71822</v>
      </c>
      <c r="W656" s="106"/>
      <c r="X656" s="106"/>
      <c r="Y656" s="107"/>
      <c r="Z656" s="107"/>
      <c r="AA656" s="106"/>
      <c r="AB656" s="106"/>
      <c r="AC656" s="107"/>
      <c r="AD656" s="107"/>
      <c r="AE656" s="107"/>
      <c r="AF656" s="107"/>
      <c r="AG656" s="107"/>
      <c r="AH656" s="107"/>
      <c r="AI656" s="107"/>
      <c r="AJ656" s="108">
        <v>0</v>
      </c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7"/>
      <c r="AV656" s="107"/>
      <c r="AW656" s="107"/>
      <c r="AX656" s="107"/>
      <c r="AY656" s="106"/>
      <c r="AZ656" s="107"/>
      <c r="BA656" s="107"/>
      <c r="BB656" s="107"/>
      <c r="BC656" s="107"/>
      <c r="BD656" s="107"/>
      <c r="BE656" s="107"/>
      <c r="BF656" s="107"/>
      <c r="BG656" s="107"/>
      <c r="BH656" s="107"/>
      <c r="BI656" s="107"/>
      <c r="BJ656" s="107"/>
      <c r="BK656" s="107"/>
      <c r="BL656" s="107"/>
      <c r="BM656" s="107"/>
      <c r="BN656" s="107"/>
      <c r="BO656" s="107"/>
      <c r="BP656" s="107"/>
      <c r="BQ656" s="109"/>
      <c r="BR656" s="109"/>
      <c r="BS656" s="109"/>
      <c r="BT656" s="109"/>
      <c r="BU656" s="138"/>
    </row>
    <row r="657" spans="1:73" ht="30.75" customHeight="1" outlineLevel="2">
      <c r="A657" s="35" t="s">
        <v>1309</v>
      </c>
      <c r="B657" s="37" t="s">
        <v>699</v>
      </c>
      <c r="C657" s="20" t="s">
        <v>1496</v>
      </c>
      <c r="D657" s="218" t="s">
        <v>700</v>
      </c>
      <c r="E657" s="203" t="s">
        <v>2461</v>
      </c>
      <c r="F657" s="108">
        <f t="shared" si="109"/>
        <v>597.47126</v>
      </c>
      <c r="G657" s="106">
        <f t="shared" si="112"/>
        <v>320.86463000000003</v>
      </c>
      <c r="H657" s="106">
        <f t="shared" si="113"/>
        <v>276.60663</v>
      </c>
      <c r="I657" s="107"/>
      <c r="J657" s="107"/>
      <c r="K657" s="107"/>
      <c r="L657" s="107"/>
      <c r="M657" s="107"/>
      <c r="N657" s="107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7"/>
      <c r="Z657" s="107"/>
      <c r="AA657" s="159">
        <v>91.32485</v>
      </c>
      <c r="AB657" s="106">
        <v>51.499</v>
      </c>
      <c r="AC657" s="107"/>
      <c r="AD657" s="107"/>
      <c r="AE657" s="107"/>
      <c r="AF657" s="107"/>
      <c r="AG657" s="107"/>
      <c r="AH657" s="107"/>
      <c r="AI657" s="107"/>
      <c r="AJ657" s="108">
        <v>0</v>
      </c>
      <c r="AK657" s="107"/>
      <c r="AL657" s="107"/>
      <c r="AM657" s="107"/>
      <c r="AN657" s="107"/>
      <c r="AO657" s="107"/>
      <c r="AP657" s="107"/>
      <c r="AQ657" s="107"/>
      <c r="AR657" s="107"/>
      <c r="AS657" s="107"/>
      <c r="AT657" s="107"/>
      <c r="AU657" s="107"/>
      <c r="AV657" s="107"/>
      <c r="AW657" s="107"/>
      <c r="AX657" s="107"/>
      <c r="AY657" s="106"/>
      <c r="AZ657" s="107"/>
      <c r="BA657" s="107"/>
      <c r="BB657" s="107"/>
      <c r="BC657" s="107">
        <v>229.53978</v>
      </c>
      <c r="BD657" s="107">
        <v>225.10763</v>
      </c>
      <c r="BE657" s="107"/>
      <c r="BF657" s="107"/>
      <c r="BG657" s="107"/>
      <c r="BH657" s="107"/>
      <c r="BI657" s="107"/>
      <c r="BJ657" s="107"/>
      <c r="BK657" s="107"/>
      <c r="BL657" s="107"/>
      <c r="BM657" s="107"/>
      <c r="BN657" s="107"/>
      <c r="BO657" s="107"/>
      <c r="BP657" s="107"/>
      <c r="BQ657" s="109"/>
      <c r="BR657" s="109"/>
      <c r="BS657" s="109"/>
      <c r="BT657" s="109"/>
      <c r="BU657" s="138"/>
    </row>
    <row r="658" spans="1:73" ht="33.75" customHeight="1" outlineLevel="2">
      <c r="A658" s="35" t="s">
        <v>1309</v>
      </c>
      <c r="B658" s="37" t="s">
        <v>608</v>
      </c>
      <c r="C658" s="20" t="s">
        <v>1496</v>
      </c>
      <c r="D658" s="218" t="s">
        <v>1033</v>
      </c>
      <c r="E658" s="203" t="s">
        <v>2453</v>
      </c>
      <c r="F658" s="108">
        <f t="shared" si="109"/>
        <v>39188.69204</v>
      </c>
      <c r="G658" s="106">
        <f t="shared" si="112"/>
        <v>20736.83538</v>
      </c>
      <c r="H658" s="106">
        <f t="shared" si="113"/>
        <v>18451.85666</v>
      </c>
      <c r="I658" s="107">
        <v>6558.25219</v>
      </c>
      <c r="J658" s="107">
        <v>1352.15326</v>
      </c>
      <c r="K658" s="107">
        <v>5796.35327</v>
      </c>
      <c r="L658" s="107">
        <v>1564.52375</v>
      </c>
      <c r="M658" s="107"/>
      <c r="N658" s="107"/>
      <c r="O658" s="106"/>
      <c r="P658" s="106"/>
      <c r="Q658" s="106">
        <v>2153.83383</v>
      </c>
      <c r="R658" s="106"/>
      <c r="S658" s="106"/>
      <c r="T658" s="106"/>
      <c r="U658" s="106"/>
      <c r="V658" s="106"/>
      <c r="W658" s="106"/>
      <c r="X658" s="106"/>
      <c r="Y658" s="107">
        <v>167.2</v>
      </c>
      <c r="Z658" s="107">
        <v>439.23</v>
      </c>
      <c r="AA658" s="159">
        <v>2973.71336</v>
      </c>
      <c r="AB658" s="106">
        <v>990.36545</v>
      </c>
      <c r="AC658" s="107"/>
      <c r="AD658" s="107"/>
      <c r="AE658" s="107"/>
      <c r="AF658" s="107"/>
      <c r="AG658" s="107">
        <v>424.5744</v>
      </c>
      <c r="AH658" s="107"/>
      <c r="AI658" s="107"/>
      <c r="AJ658" s="108">
        <v>1194.79464</v>
      </c>
      <c r="AK658" s="107">
        <v>52.107</v>
      </c>
      <c r="AL658" s="107"/>
      <c r="AM658" s="107"/>
      <c r="AN658" s="107">
        <v>1648.8111</v>
      </c>
      <c r="AO658" s="107"/>
      <c r="AP658" s="107"/>
      <c r="AQ658" s="107"/>
      <c r="AR658" s="107"/>
      <c r="AS658" s="107"/>
      <c r="AT658" s="107"/>
      <c r="AU658" s="107"/>
      <c r="AV658" s="107"/>
      <c r="AW658" s="107"/>
      <c r="AX658" s="107"/>
      <c r="AY658" s="106">
        <v>1407.3057</v>
      </c>
      <c r="AZ658" s="107"/>
      <c r="BA658" s="107"/>
      <c r="BB658" s="107"/>
      <c r="BC658" s="107">
        <v>5241.31656</v>
      </c>
      <c r="BD658" s="107">
        <v>5140.13939</v>
      </c>
      <c r="BE658" s="107">
        <v>1279.36909</v>
      </c>
      <c r="BF658" s="107"/>
      <c r="BG658" s="107"/>
      <c r="BH658" s="107"/>
      <c r="BI658" s="107"/>
      <c r="BJ658" s="107">
        <v>804.64905</v>
      </c>
      <c r="BK658" s="107"/>
      <c r="BL658" s="107"/>
      <c r="BM658" s="107"/>
      <c r="BN658" s="107"/>
      <c r="BO658" s="107"/>
      <c r="BP658" s="107"/>
      <c r="BQ658" s="109"/>
      <c r="BR658" s="109"/>
      <c r="BS658" s="109"/>
      <c r="BT658" s="109"/>
      <c r="BU658" s="138"/>
    </row>
    <row r="659" spans="1:73" ht="43.5" customHeight="1" outlineLevel="2">
      <c r="A659" s="35" t="s">
        <v>1309</v>
      </c>
      <c r="B659" s="37" t="s">
        <v>1447</v>
      </c>
      <c r="C659" s="20" t="s">
        <v>1496</v>
      </c>
      <c r="D659" s="218" t="s">
        <v>753</v>
      </c>
      <c r="E659" s="203" t="s">
        <v>2456</v>
      </c>
      <c r="F659" s="108">
        <f t="shared" si="109"/>
        <v>45903.87831</v>
      </c>
      <c r="G659" s="106">
        <f t="shared" si="112"/>
        <v>18584.91605</v>
      </c>
      <c r="H659" s="106">
        <f t="shared" si="113"/>
        <v>27318.962260000004</v>
      </c>
      <c r="I659" s="107">
        <v>1430.73915</v>
      </c>
      <c r="J659" s="107">
        <v>186.10296</v>
      </c>
      <c r="K659" s="107">
        <v>4236.26527</v>
      </c>
      <c r="L659" s="107">
        <v>779.50682</v>
      </c>
      <c r="M659" s="107">
        <v>166.85484</v>
      </c>
      <c r="N659" s="107"/>
      <c r="O659" s="106"/>
      <c r="P659" s="106"/>
      <c r="Q659" s="106">
        <v>2619.93133</v>
      </c>
      <c r="R659" s="106"/>
      <c r="S659" s="106">
        <v>2592.84914</v>
      </c>
      <c r="T659" s="106">
        <v>1699.15738</v>
      </c>
      <c r="U659" s="106"/>
      <c r="V659" s="106"/>
      <c r="W659" s="106"/>
      <c r="X659" s="106"/>
      <c r="Y659" s="107">
        <v>592.8</v>
      </c>
      <c r="Z659" s="107">
        <v>3473.91</v>
      </c>
      <c r="AA659" s="159">
        <v>1612.91337</v>
      </c>
      <c r="AB659" s="106">
        <v>496.56924</v>
      </c>
      <c r="AC659" s="107"/>
      <c r="AD659" s="107"/>
      <c r="AE659" s="107"/>
      <c r="AF659" s="107"/>
      <c r="AG659" s="107"/>
      <c r="AH659" s="107"/>
      <c r="AI659" s="107"/>
      <c r="AJ659" s="108">
        <v>2294.78632</v>
      </c>
      <c r="AK659" s="107">
        <v>41.7435</v>
      </c>
      <c r="AL659" s="107"/>
      <c r="AM659" s="107"/>
      <c r="AN659" s="107">
        <v>2444.4134</v>
      </c>
      <c r="AO659" s="107"/>
      <c r="AP659" s="107"/>
      <c r="AQ659" s="107"/>
      <c r="AR659" s="107"/>
      <c r="AS659" s="107"/>
      <c r="AT659" s="107"/>
      <c r="AU659" s="107"/>
      <c r="AV659" s="107"/>
      <c r="AW659" s="107"/>
      <c r="AX659" s="107"/>
      <c r="AY659" s="106">
        <v>2233.6492</v>
      </c>
      <c r="AZ659" s="107"/>
      <c r="BA659" s="107">
        <f>1074.6728+1496.6256</f>
        <v>2571.2984</v>
      </c>
      <c r="BB659" s="107"/>
      <c r="BC659" s="107">
        <v>8119.34912</v>
      </c>
      <c r="BD659" s="107">
        <v>7962.71084</v>
      </c>
      <c r="BE659" s="107"/>
      <c r="BF659" s="107"/>
      <c r="BG659" s="107"/>
      <c r="BH659" s="107"/>
      <c r="BI659" s="107"/>
      <c r="BJ659" s="107"/>
      <c r="BK659" s="107"/>
      <c r="BL659" s="107"/>
      <c r="BM659" s="107">
        <v>348.32803</v>
      </c>
      <c r="BN659" s="107"/>
      <c r="BO659" s="107"/>
      <c r="BP659" s="107"/>
      <c r="BQ659" s="109"/>
      <c r="BR659" s="109"/>
      <c r="BS659" s="109"/>
      <c r="BT659" s="109"/>
      <c r="BU659" s="138"/>
    </row>
    <row r="660" spans="1:73" ht="41.25" customHeight="1" outlineLevel="2">
      <c r="A660" s="35" t="s">
        <v>1309</v>
      </c>
      <c r="B660" s="37" t="s">
        <v>1448</v>
      </c>
      <c r="C660" s="20" t="s">
        <v>1496</v>
      </c>
      <c r="D660" s="218" t="s">
        <v>754</v>
      </c>
      <c r="E660" s="203" t="s">
        <v>2456</v>
      </c>
      <c r="F660" s="108">
        <f t="shared" si="109"/>
        <v>8881.06535</v>
      </c>
      <c r="G660" s="106">
        <f t="shared" si="112"/>
        <v>4272.88695</v>
      </c>
      <c r="H660" s="106">
        <f t="shared" si="113"/>
        <v>4608.178400000001</v>
      </c>
      <c r="I660" s="107"/>
      <c r="J660" s="107"/>
      <c r="K660" s="107">
        <v>566.47486</v>
      </c>
      <c r="L660" s="107">
        <v>166.59092</v>
      </c>
      <c r="M660" s="107"/>
      <c r="N660" s="107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7"/>
      <c r="Z660" s="107">
        <v>79.86</v>
      </c>
      <c r="AA660" s="159">
        <v>1979.41312</v>
      </c>
      <c r="AB660" s="106">
        <v>878.65223</v>
      </c>
      <c r="AC660" s="107"/>
      <c r="AD660" s="107"/>
      <c r="AE660" s="107"/>
      <c r="AF660" s="107"/>
      <c r="AG660" s="107">
        <v>211.2234</v>
      </c>
      <c r="AH660" s="107"/>
      <c r="AI660" s="107"/>
      <c r="AJ660" s="108">
        <v>214.63652000000002</v>
      </c>
      <c r="AK660" s="107">
        <v>13.4035</v>
      </c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7"/>
      <c r="AV660" s="107"/>
      <c r="AW660" s="107"/>
      <c r="AX660" s="107"/>
      <c r="AY660" s="106">
        <v>844.51511</v>
      </c>
      <c r="AZ660" s="107"/>
      <c r="BA660" s="107"/>
      <c r="BB660" s="107"/>
      <c r="BC660" s="107">
        <v>1726.99897</v>
      </c>
      <c r="BD660" s="107">
        <v>1693.78103</v>
      </c>
      <c r="BE660" s="107"/>
      <c r="BF660" s="107"/>
      <c r="BG660" s="107"/>
      <c r="BH660" s="107"/>
      <c r="BI660" s="107"/>
      <c r="BJ660" s="107"/>
      <c r="BK660" s="107"/>
      <c r="BL660" s="107"/>
      <c r="BM660" s="107">
        <v>505.51569</v>
      </c>
      <c r="BN660" s="107"/>
      <c r="BO660" s="107"/>
      <c r="BP660" s="107"/>
      <c r="BQ660" s="109"/>
      <c r="BR660" s="109"/>
      <c r="BS660" s="109"/>
      <c r="BT660" s="109"/>
      <c r="BU660" s="138"/>
    </row>
    <row r="661" spans="1:73" ht="39" customHeight="1" outlineLevel="2">
      <c r="A661" s="35" t="s">
        <v>1309</v>
      </c>
      <c r="B661" s="37" t="s">
        <v>696</v>
      </c>
      <c r="C661" s="20" t="s">
        <v>587</v>
      </c>
      <c r="D661" s="218" t="s">
        <v>701</v>
      </c>
      <c r="E661" s="220" t="s">
        <v>2462</v>
      </c>
      <c r="F661" s="108">
        <f t="shared" si="109"/>
        <v>49.68124</v>
      </c>
      <c r="G661" s="106">
        <f t="shared" si="112"/>
        <v>26.76766</v>
      </c>
      <c r="H661" s="106">
        <f t="shared" si="113"/>
        <v>22.91358</v>
      </c>
      <c r="I661" s="107"/>
      <c r="J661" s="107"/>
      <c r="K661" s="107"/>
      <c r="L661" s="107"/>
      <c r="M661" s="107"/>
      <c r="N661" s="107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7"/>
      <c r="Z661" s="107"/>
      <c r="AA661" s="159">
        <v>7.44173</v>
      </c>
      <c r="AB661" s="106">
        <v>3.96146</v>
      </c>
      <c r="AC661" s="107"/>
      <c r="AD661" s="107"/>
      <c r="AE661" s="107"/>
      <c r="AF661" s="107"/>
      <c r="AG661" s="107"/>
      <c r="AH661" s="107"/>
      <c r="AI661" s="107"/>
      <c r="AJ661" s="108">
        <v>0</v>
      </c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7"/>
      <c r="AV661" s="107"/>
      <c r="AW661" s="107"/>
      <c r="AX661" s="107"/>
      <c r="AY661" s="106"/>
      <c r="AZ661" s="107"/>
      <c r="BA661" s="107"/>
      <c r="BB661" s="107"/>
      <c r="BC661" s="107">
        <v>19.32593</v>
      </c>
      <c r="BD661" s="107">
        <v>18.95212</v>
      </c>
      <c r="BE661" s="107"/>
      <c r="BF661" s="107"/>
      <c r="BG661" s="107"/>
      <c r="BH661" s="107"/>
      <c r="BI661" s="107"/>
      <c r="BJ661" s="107"/>
      <c r="BK661" s="107"/>
      <c r="BL661" s="107"/>
      <c r="BM661" s="107"/>
      <c r="BN661" s="107"/>
      <c r="BO661" s="107"/>
      <c r="BP661" s="107"/>
      <c r="BQ661" s="109"/>
      <c r="BR661" s="109"/>
      <c r="BS661" s="109"/>
      <c r="BT661" s="109"/>
      <c r="BU661" s="138"/>
    </row>
    <row r="662" spans="1:73" ht="39" customHeight="1" outlineLevel="2">
      <c r="A662" s="35" t="s">
        <v>1309</v>
      </c>
      <c r="B662" s="37" t="s">
        <v>1727</v>
      </c>
      <c r="C662" s="20" t="s">
        <v>587</v>
      </c>
      <c r="D662" s="218" t="s">
        <v>2468</v>
      </c>
      <c r="E662" s="220" t="s">
        <v>2463</v>
      </c>
      <c r="F662" s="108">
        <f t="shared" si="109"/>
        <v>1647</v>
      </c>
      <c r="G662" s="106">
        <f t="shared" si="112"/>
        <v>1468.8</v>
      </c>
      <c r="H662" s="106">
        <f t="shared" si="113"/>
        <v>178.2</v>
      </c>
      <c r="I662" s="107"/>
      <c r="J662" s="107"/>
      <c r="K662" s="107"/>
      <c r="L662" s="107"/>
      <c r="M662" s="107"/>
      <c r="N662" s="107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7"/>
      <c r="Z662" s="107"/>
      <c r="AA662" s="106"/>
      <c r="AB662" s="106"/>
      <c r="AC662" s="107"/>
      <c r="AD662" s="107"/>
      <c r="AE662" s="107"/>
      <c r="AF662" s="107"/>
      <c r="AG662" s="107"/>
      <c r="AH662" s="107"/>
      <c r="AI662" s="107"/>
      <c r="AJ662" s="108">
        <v>0</v>
      </c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7"/>
      <c r="AV662" s="107"/>
      <c r="AW662" s="107"/>
      <c r="AX662" s="107"/>
      <c r="AY662" s="106"/>
      <c r="AZ662" s="107"/>
      <c r="BA662" s="107"/>
      <c r="BB662" s="107"/>
      <c r="BC662" s="107"/>
      <c r="BD662" s="107"/>
      <c r="BE662" s="107"/>
      <c r="BF662" s="107"/>
      <c r="BG662" s="107"/>
      <c r="BH662" s="107"/>
      <c r="BI662" s="107"/>
      <c r="BJ662" s="107"/>
      <c r="BK662" s="107"/>
      <c r="BL662" s="107"/>
      <c r="BM662" s="107"/>
      <c r="BN662" s="107"/>
      <c r="BO662" s="107"/>
      <c r="BP662" s="107"/>
      <c r="BQ662" s="109">
        <v>178.2</v>
      </c>
      <c r="BR662" s="109">
        <v>1468.8</v>
      </c>
      <c r="BS662" s="109"/>
      <c r="BT662" s="109"/>
      <c r="BU662" s="138"/>
    </row>
    <row r="663" spans="1:73" ht="39" customHeight="1" outlineLevel="2">
      <c r="A663" s="35" t="s">
        <v>1309</v>
      </c>
      <c r="B663" s="37" t="s">
        <v>1728</v>
      </c>
      <c r="C663" s="20" t="s">
        <v>587</v>
      </c>
      <c r="D663" s="218" t="s">
        <v>2469</v>
      </c>
      <c r="E663" s="220" t="s">
        <v>2464</v>
      </c>
      <c r="F663" s="108">
        <f t="shared" si="109"/>
        <v>998.145</v>
      </c>
      <c r="G663" s="106">
        <f t="shared" si="112"/>
        <v>998.145</v>
      </c>
      <c r="H663" s="106">
        <f t="shared" si="113"/>
        <v>0</v>
      </c>
      <c r="I663" s="107"/>
      <c r="J663" s="107"/>
      <c r="K663" s="107"/>
      <c r="L663" s="107"/>
      <c r="M663" s="107"/>
      <c r="N663" s="107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7"/>
      <c r="Z663" s="107"/>
      <c r="AA663" s="106"/>
      <c r="AB663" s="106"/>
      <c r="AC663" s="107"/>
      <c r="AD663" s="107"/>
      <c r="AE663" s="107"/>
      <c r="AF663" s="107"/>
      <c r="AG663" s="107"/>
      <c r="AH663" s="107"/>
      <c r="AI663" s="107"/>
      <c r="AJ663" s="108">
        <v>0</v>
      </c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7"/>
      <c r="AV663" s="107"/>
      <c r="AW663" s="107"/>
      <c r="AX663" s="107"/>
      <c r="AY663" s="106"/>
      <c r="AZ663" s="107"/>
      <c r="BA663" s="107"/>
      <c r="BB663" s="107"/>
      <c r="BC663" s="107"/>
      <c r="BD663" s="107"/>
      <c r="BE663" s="107"/>
      <c r="BF663" s="107"/>
      <c r="BG663" s="107"/>
      <c r="BH663" s="107"/>
      <c r="BI663" s="107"/>
      <c r="BJ663" s="107"/>
      <c r="BK663" s="107"/>
      <c r="BL663" s="107"/>
      <c r="BM663" s="107"/>
      <c r="BN663" s="107"/>
      <c r="BO663" s="107"/>
      <c r="BP663" s="107"/>
      <c r="BQ663" s="109"/>
      <c r="BR663" s="109">
        <v>998.145</v>
      </c>
      <c r="BS663" s="109"/>
      <c r="BT663" s="109"/>
      <c r="BU663" s="138"/>
    </row>
    <row r="664" spans="1:73" ht="35.25" customHeight="1" outlineLevel="2">
      <c r="A664" s="35" t="s">
        <v>1309</v>
      </c>
      <c r="B664" s="37" t="s">
        <v>1428</v>
      </c>
      <c r="C664" s="20" t="s">
        <v>934</v>
      </c>
      <c r="D664" s="218" t="s">
        <v>1429</v>
      </c>
      <c r="E664" s="220" t="s">
        <v>2465</v>
      </c>
      <c r="F664" s="108">
        <f t="shared" si="109"/>
        <v>586.19073</v>
      </c>
      <c r="G664" s="106">
        <f t="shared" si="112"/>
        <v>524.25917</v>
      </c>
      <c r="H664" s="106">
        <f t="shared" si="113"/>
        <v>61.93156</v>
      </c>
      <c r="I664" s="107"/>
      <c r="J664" s="107"/>
      <c r="K664" s="107"/>
      <c r="L664" s="107"/>
      <c r="M664" s="107"/>
      <c r="N664" s="107"/>
      <c r="O664" s="106">
        <v>524.25917</v>
      </c>
      <c r="P664" s="106">
        <v>24.99765</v>
      </c>
      <c r="Q664" s="106"/>
      <c r="R664" s="106"/>
      <c r="S664" s="106"/>
      <c r="T664" s="106"/>
      <c r="U664" s="106"/>
      <c r="V664" s="106"/>
      <c r="W664" s="106"/>
      <c r="X664" s="106"/>
      <c r="Y664" s="107"/>
      <c r="Z664" s="107"/>
      <c r="AA664" s="106"/>
      <c r="AB664" s="106"/>
      <c r="AC664" s="107"/>
      <c r="AD664" s="107"/>
      <c r="AE664" s="107"/>
      <c r="AF664" s="107"/>
      <c r="AG664" s="107"/>
      <c r="AH664" s="107"/>
      <c r="AI664" s="107"/>
      <c r="AJ664" s="108">
        <v>0</v>
      </c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7"/>
      <c r="AV664" s="107"/>
      <c r="AW664" s="107"/>
      <c r="AX664" s="107"/>
      <c r="AY664" s="106"/>
      <c r="AZ664" s="107"/>
      <c r="BA664" s="107"/>
      <c r="BB664" s="107"/>
      <c r="BC664" s="107"/>
      <c r="BD664" s="107"/>
      <c r="BE664" s="107"/>
      <c r="BF664" s="107"/>
      <c r="BG664" s="107"/>
      <c r="BH664" s="107"/>
      <c r="BI664" s="107"/>
      <c r="BJ664" s="107"/>
      <c r="BK664" s="107"/>
      <c r="BL664" s="107"/>
      <c r="BM664" s="107"/>
      <c r="BN664" s="107">
        <v>36.93391</v>
      </c>
      <c r="BO664" s="107"/>
      <c r="BP664" s="107"/>
      <c r="BQ664" s="109"/>
      <c r="BR664" s="109"/>
      <c r="BS664" s="109"/>
      <c r="BT664" s="109"/>
      <c r="BU664" s="138"/>
    </row>
    <row r="665" spans="1:73" ht="39" customHeight="1" outlineLevel="2" thickBot="1">
      <c r="A665" s="35" t="s">
        <v>1309</v>
      </c>
      <c r="B665" s="37" t="s">
        <v>470</v>
      </c>
      <c r="C665" s="20" t="s">
        <v>934</v>
      </c>
      <c r="D665" s="218" t="s">
        <v>2467</v>
      </c>
      <c r="E665" s="203" t="s">
        <v>2466</v>
      </c>
      <c r="F665" s="108">
        <f t="shared" si="109"/>
        <v>186.50443</v>
      </c>
      <c r="G665" s="106">
        <f t="shared" si="112"/>
        <v>178.40054</v>
      </c>
      <c r="H665" s="106">
        <f t="shared" si="113"/>
        <v>8.10389</v>
      </c>
      <c r="I665" s="107"/>
      <c r="J665" s="107"/>
      <c r="K665" s="107"/>
      <c r="L665" s="107"/>
      <c r="M665" s="107"/>
      <c r="N665" s="107"/>
      <c r="O665" s="106">
        <v>178.40054</v>
      </c>
      <c r="P665" s="106">
        <v>8.10389</v>
      </c>
      <c r="Q665" s="106"/>
      <c r="R665" s="106"/>
      <c r="S665" s="106"/>
      <c r="T665" s="106"/>
      <c r="U665" s="106"/>
      <c r="V665" s="106"/>
      <c r="W665" s="106"/>
      <c r="X665" s="106"/>
      <c r="Y665" s="107"/>
      <c r="Z665" s="107"/>
      <c r="AA665" s="106"/>
      <c r="AB665" s="106"/>
      <c r="AC665" s="107"/>
      <c r="AD665" s="107"/>
      <c r="AE665" s="107"/>
      <c r="AF665" s="107"/>
      <c r="AG665" s="107"/>
      <c r="AH665" s="107"/>
      <c r="AI665" s="107"/>
      <c r="AJ665" s="108">
        <v>0</v>
      </c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7"/>
      <c r="AV665" s="107"/>
      <c r="AW665" s="107"/>
      <c r="AX665" s="107"/>
      <c r="AY665" s="106"/>
      <c r="AZ665" s="107"/>
      <c r="BA665" s="107"/>
      <c r="BB665" s="107"/>
      <c r="BC665" s="107"/>
      <c r="BD665" s="107"/>
      <c r="BE665" s="107"/>
      <c r="BF665" s="107"/>
      <c r="BG665" s="107"/>
      <c r="BH665" s="107"/>
      <c r="BI665" s="107"/>
      <c r="BJ665" s="107"/>
      <c r="BK665" s="107"/>
      <c r="BL665" s="107"/>
      <c r="BM665" s="107"/>
      <c r="BN665" s="107"/>
      <c r="BO665" s="107"/>
      <c r="BP665" s="107"/>
      <c r="BQ665" s="109"/>
      <c r="BR665" s="109"/>
      <c r="BS665" s="109"/>
      <c r="BT665" s="109"/>
      <c r="BU665" s="138"/>
    </row>
    <row r="666" spans="1:73" s="32" customFormat="1" ht="21" outlineLevel="1" thickBot="1">
      <c r="A666" s="40" t="s">
        <v>703</v>
      </c>
      <c r="B666" s="41"/>
      <c r="C666" s="30" t="s">
        <v>1572</v>
      </c>
      <c r="D666" s="222"/>
      <c r="E666" s="223"/>
      <c r="F666" s="116">
        <f aca="true" t="shared" si="114" ref="F666:AV666">SUBTOTAL(9,F651:F665)</f>
        <v>452142.29345999996</v>
      </c>
      <c r="G666" s="116">
        <f t="shared" si="114"/>
        <v>137571.38911</v>
      </c>
      <c r="H666" s="116">
        <f t="shared" si="114"/>
        <v>314570.90434999997</v>
      </c>
      <c r="I666" s="116">
        <f t="shared" si="114"/>
        <v>11546.19315</v>
      </c>
      <c r="J666" s="116">
        <f t="shared" si="114"/>
        <v>2438.3902000000003</v>
      </c>
      <c r="K666" s="116">
        <f t="shared" si="114"/>
        <v>19914.905089999997</v>
      </c>
      <c r="L666" s="116">
        <f t="shared" si="114"/>
        <v>5426.2991999999995</v>
      </c>
      <c r="M666" s="116">
        <f t="shared" si="114"/>
        <v>166.85484</v>
      </c>
      <c r="N666" s="116">
        <f t="shared" si="114"/>
        <v>112875.61662</v>
      </c>
      <c r="O666" s="116">
        <f t="shared" si="114"/>
        <v>702.65971</v>
      </c>
      <c r="P666" s="116">
        <f t="shared" si="114"/>
        <v>33.10154</v>
      </c>
      <c r="Q666" s="116">
        <f t="shared" si="114"/>
        <v>4773.76516</v>
      </c>
      <c r="R666" s="116">
        <f t="shared" si="114"/>
        <v>0</v>
      </c>
      <c r="S666" s="116">
        <f t="shared" si="114"/>
        <v>3012.2014499999996</v>
      </c>
      <c r="T666" s="116">
        <f t="shared" si="114"/>
        <v>4075.15861</v>
      </c>
      <c r="U666" s="116">
        <f t="shared" si="114"/>
        <v>3075.04797</v>
      </c>
      <c r="V666" s="116">
        <f t="shared" si="114"/>
        <v>69.71822</v>
      </c>
      <c r="W666" s="116">
        <f t="shared" si="114"/>
        <v>9865.4948</v>
      </c>
      <c r="X666" s="116">
        <f t="shared" si="114"/>
        <v>5150.47903</v>
      </c>
      <c r="Y666" s="116">
        <f t="shared" si="114"/>
        <v>1667.5159999999998</v>
      </c>
      <c r="Z666" s="116">
        <f t="shared" si="114"/>
        <v>8852.68065</v>
      </c>
      <c r="AA666" s="116">
        <f t="shared" si="114"/>
        <v>25605.149480000004</v>
      </c>
      <c r="AB666" s="116">
        <f t="shared" si="114"/>
        <v>8873.47624</v>
      </c>
      <c r="AC666" s="116">
        <f t="shared" si="114"/>
        <v>0</v>
      </c>
      <c r="AD666" s="116">
        <f t="shared" si="114"/>
        <v>0</v>
      </c>
      <c r="AE666" s="116">
        <f t="shared" si="114"/>
        <v>0</v>
      </c>
      <c r="AF666" s="116">
        <f t="shared" si="114"/>
        <v>0</v>
      </c>
      <c r="AG666" s="116">
        <f t="shared" si="114"/>
        <v>921.1326</v>
      </c>
      <c r="AH666" s="116">
        <f t="shared" si="114"/>
        <v>0</v>
      </c>
      <c r="AI666" s="116">
        <f t="shared" si="114"/>
        <v>0</v>
      </c>
      <c r="AJ666" s="116">
        <f>SUBTOTAL(9,AJ651:AJ665)</f>
        <v>12325.29076</v>
      </c>
      <c r="AK666" s="116">
        <f t="shared" si="114"/>
        <v>842.7199</v>
      </c>
      <c r="AL666" s="116">
        <f t="shared" si="114"/>
        <v>0</v>
      </c>
      <c r="AM666" s="116">
        <f t="shared" si="114"/>
        <v>2393.586</v>
      </c>
      <c r="AN666" s="116">
        <f t="shared" si="114"/>
        <v>17222.4945</v>
      </c>
      <c r="AO666" s="116">
        <f t="shared" si="114"/>
        <v>0</v>
      </c>
      <c r="AP666" s="116">
        <f t="shared" si="114"/>
        <v>0</v>
      </c>
      <c r="AQ666" s="116">
        <f t="shared" si="114"/>
        <v>0</v>
      </c>
      <c r="AR666" s="116">
        <f t="shared" si="114"/>
        <v>924.3</v>
      </c>
      <c r="AS666" s="116">
        <f t="shared" si="114"/>
        <v>448.24</v>
      </c>
      <c r="AT666" s="116">
        <f t="shared" si="114"/>
        <v>0</v>
      </c>
      <c r="AU666" s="116">
        <f t="shared" si="114"/>
        <v>0</v>
      </c>
      <c r="AV666" s="116">
        <f t="shared" si="114"/>
        <v>2188.16</v>
      </c>
      <c r="AW666" s="116">
        <f aca="true" t="shared" si="115" ref="AW666:BU666">SUBTOTAL(9,AW651:AW665)</f>
        <v>0</v>
      </c>
      <c r="AX666" s="116">
        <f t="shared" si="115"/>
        <v>6692.56435</v>
      </c>
      <c r="AY666" s="116">
        <f t="shared" si="115"/>
        <v>17164.81439</v>
      </c>
      <c r="AZ666" s="116">
        <f t="shared" si="115"/>
        <v>30479.364</v>
      </c>
      <c r="BA666" s="116">
        <f t="shared" si="115"/>
        <v>9313.83175</v>
      </c>
      <c r="BB666" s="116">
        <f t="shared" si="115"/>
        <v>0</v>
      </c>
      <c r="BC666" s="116">
        <f t="shared" si="115"/>
        <v>52098.41211</v>
      </c>
      <c r="BD666" s="116">
        <f t="shared" si="115"/>
        <v>51093.84195999999</v>
      </c>
      <c r="BE666" s="116">
        <f t="shared" si="115"/>
        <v>4310.3260900000005</v>
      </c>
      <c r="BF666" s="116">
        <f t="shared" si="115"/>
        <v>0</v>
      </c>
      <c r="BG666" s="116">
        <f t="shared" si="115"/>
        <v>0</v>
      </c>
      <c r="BH666" s="116">
        <f t="shared" si="115"/>
        <v>0</v>
      </c>
      <c r="BI666" s="116">
        <f t="shared" si="115"/>
        <v>0</v>
      </c>
      <c r="BJ666" s="116">
        <f t="shared" si="115"/>
        <v>11817.75074</v>
      </c>
      <c r="BK666" s="116"/>
      <c r="BL666" s="116">
        <f t="shared" si="115"/>
        <v>0</v>
      </c>
      <c r="BM666" s="116">
        <f t="shared" si="115"/>
        <v>1098.67744</v>
      </c>
      <c r="BN666" s="116">
        <f t="shared" si="115"/>
        <v>36.93391</v>
      </c>
      <c r="BO666" s="116">
        <f t="shared" si="115"/>
        <v>0</v>
      </c>
      <c r="BP666" s="116">
        <f t="shared" si="115"/>
        <v>0</v>
      </c>
      <c r="BQ666" s="116">
        <f t="shared" si="115"/>
        <v>178.2</v>
      </c>
      <c r="BR666" s="116">
        <f t="shared" si="115"/>
        <v>2466.9449999999997</v>
      </c>
      <c r="BS666" s="116">
        <f t="shared" si="115"/>
        <v>0</v>
      </c>
      <c r="BT666" s="116">
        <f t="shared" si="115"/>
        <v>0</v>
      </c>
      <c r="BU666" s="116">
        <f t="shared" si="115"/>
        <v>0</v>
      </c>
    </row>
    <row r="667" spans="1:73" ht="36" customHeight="1" outlineLevel="2">
      <c r="A667" s="35" t="s">
        <v>704</v>
      </c>
      <c r="B667" s="37" t="s">
        <v>1012</v>
      </c>
      <c r="C667" s="20" t="s">
        <v>1496</v>
      </c>
      <c r="D667" s="218" t="s">
        <v>511</v>
      </c>
      <c r="E667" s="203" t="s">
        <v>2481</v>
      </c>
      <c r="F667" s="108">
        <f t="shared" si="109"/>
        <v>4496.08361</v>
      </c>
      <c r="G667" s="106">
        <f>I667+K667+O667+S667+U667+W667+Y667+AA667+AC667+AE667+AR667+AX667+BC667+BG667+BP667+BR667+BT667+AO667</f>
        <v>579.30114</v>
      </c>
      <c r="H667" s="106">
        <f>J667+L667+M667+N667+P667+Q667+R667+T667+V667+X667+Z667+AB667+AD667+AF667+AG667+AJ667+AL667+AS667+AT667+AU667+AV667+AW667+AY667+AZ667+BA667+BB667+BD667+BE667+BF667+BH667+BI667+BJ667+BL667+BM667+BN667+BO667+BQ667+BS667+BU667+AH667+AI667+AK667+AM667+AN667+AP667+AQ667+BK667</f>
        <v>3916.78247</v>
      </c>
      <c r="I667" s="107"/>
      <c r="J667" s="107"/>
      <c r="K667" s="107"/>
      <c r="L667" s="107"/>
      <c r="M667" s="107"/>
      <c r="N667" s="107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7"/>
      <c r="Z667" s="107"/>
      <c r="AA667" s="106">
        <v>355.25248</v>
      </c>
      <c r="AB667" s="106">
        <v>237.68771</v>
      </c>
      <c r="AC667" s="107"/>
      <c r="AD667" s="107"/>
      <c r="AE667" s="107"/>
      <c r="AF667" s="107"/>
      <c r="AG667" s="107"/>
      <c r="AH667" s="107"/>
      <c r="AI667" s="107"/>
      <c r="AJ667" s="108">
        <v>94.78076</v>
      </c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7"/>
      <c r="AV667" s="107"/>
      <c r="AW667" s="107"/>
      <c r="AX667" s="107"/>
      <c r="AY667" s="106"/>
      <c r="AZ667" s="107"/>
      <c r="BA667" s="107">
        <f>564.61865+348.6168</f>
        <v>913.23545</v>
      </c>
      <c r="BB667" s="107"/>
      <c r="BC667" s="107">
        <v>224.04866</v>
      </c>
      <c r="BD667" s="107">
        <v>219.69847</v>
      </c>
      <c r="BE667" s="107"/>
      <c r="BF667" s="107"/>
      <c r="BG667" s="107"/>
      <c r="BH667" s="107"/>
      <c r="BI667" s="107"/>
      <c r="BJ667" s="107">
        <v>2451.38008</v>
      </c>
      <c r="BK667" s="107"/>
      <c r="BL667" s="107"/>
      <c r="BM667" s="107"/>
      <c r="BN667" s="107"/>
      <c r="BO667" s="107"/>
      <c r="BP667" s="107"/>
      <c r="BQ667" s="109"/>
      <c r="BR667" s="109"/>
      <c r="BS667" s="109"/>
      <c r="BT667" s="109"/>
      <c r="BU667" s="138"/>
    </row>
    <row r="668" spans="1:73" ht="33.75" customHeight="1" outlineLevel="2">
      <c r="A668" s="35" t="s">
        <v>704</v>
      </c>
      <c r="B668" s="37" t="s">
        <v>750</v>
      </c>
      <c r="C668" s="20" t="s">
        <v>1496</v>
      </c>
      <c r="D668" s="218" t="s">
        <v>411</v>
      </c>
      <c r="E668" s="203" t="s">
        <v>2477</v>
      </c>
      <c r="F668" s="108">
        <f t="shared" si="109"/>
        <v>6967.25871</v>
      </c>
      <c r="G668" s="106">
        <f aca="true" t="shared" si="116" ref="G668:G681">I668+K668+O668+S668+U668+W668+Y668+AA668+AC668+AE668+AR668+AX668+BC668+BG668+BP668+BR668+BT668+AO668</f>
        <v>2542.00542</v>
      </c>
      <c r="H668" s="106">
        <f aca="true" t="shared" si="117" ref="H668:H681">J668+L668+M668+N668+P668+Q668+R668+T668+V668+X668+Z668+AB668+AD668+AF668+AG668+AJ668+AL668+AS668+AT668+AU668+AV668+AW668+AY668+AZ668+BA668+BB668+BD668+BE668+BF668+BH668+BI668+BJ668+BL668+BM668+BN668+BO668+BQ668+BS668+BU668+AH668+AI668+AK668+AM668+AN668+AP668+AQ668+BK668</f>
        <v>4425.253290000001</v>
      </c>
      <c r="I668" s="107"/>
      <c r="J668" s="107"/>
      <c r="K668" s="107">
        <v>997.58779</v>
      </c>
      <c r="L668" s="107">
        <v>153.08219</v>
      </c>
      <c r="M668" s="124">
        <v>318.59722</v>
      </c>
      <c r="N668" s="107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7">
        <v>32.49284</v>
      </c>
      <c r="Z668" s="107">
        <v>154.1298</v>
      </c>
      <c r="AA668" s="159">
        <v>536.51862</v>
      </c>
      <c r="AB668" s="106">
        <v>495.18273</v>
      </c>
      <c r="AC668" s="107"/>
      <c r="AD668" s="107"/>
      <c r="AE668" s="107"/>
      <c r="AF668" s="107"/>
      <c r="AG668" s="107"/>
      <c r="AH668" s="107"/>
      <c r="AI668" s="107"/>
      <c r="AJ668" s="108">
        <v>270.17488</v>
      </c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7"/>
      <c r="AV668" s="107"/>
      <c r="AW668" s="107"/>
      <c r="AX668" s="107"/>
      <c r="AY668" s="106"/>
      <c r="AZ668" s="107"/>
      <c r="BA668" s="107"/>
      <c r="BB668" s="107"/>
      <c r="BC668" s="107">
        <v>975.40617</v>
      </c>
      <c r="BD668" s="107">
        <v>956.54185</v>
      </c>
      <c r="BE668" s="107"/>
      <c r="BF668" s="107"/>
      <c r="BG668" s="107"/>
      <c r="BH668" s="107"/>
      <c r="BI668" s="107"/>
      <c r="BJ668" s="107">
        <v>2077.54462</v>
      </c>
      <c r="BK668" s="107"/>
      <c r="BL668" s="107"/>
      <c r="BM668" s="107"/>
      <c r="BN668" s="107"/>
      <c r="BO668" s="107"/>
      <c r="BP668" s="107"/>
      <c r="BQ668" s="109"/>
      <c r="BR668" s="109"/>
      <c r="BS668" s="109"/>
      <c r="BT668" s="109"/>
      <c r="BU668" s="138"/>
    </row>
    <row r="669" spans="1:73" ht="28.5" customHeight="1" outlineLevel="2">
      <c r="A669" s="35" t="s">
        <v>704</v>
      </c>
      <c r="B669" s="37" t="s">
        <v>1489</v>
      </c>
      <c r="C669" s="20" t="s">
        <v>1496</v>
      </c>
      <c r="D669" s="218" t="s">
        <v>642</v>
      </c>
      <c r="E669" s="203" t="s">
        <v>2476</v>
      </c>
      <c r="F669" s="108">
        <f t="shared" si="109"/>
        <v>9362.75676</v>
      </c>
      <c r="G669" s="106">
        <f t="shared" si="116"/>
        <v>2701.04637</v>
      </c>
      <c r="H669" s="106">
        <f t="shared" si="117"/>
        <v>6661.71039</v>
      </c>
      <c r="I669" s="107"/>
      <c r="J669" s="107"/>
      <c r="K669" s="107">
        <f>720.50227+168.78377</f>
        <v>889.28604</v>
      </c>
      <c r="L669" s="107">
        <f>70.64344+13.37667</f>
        <v>84.02011</v>
      </c>
      <c r="M669" s="107"/>
      <c r="N669" s="107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7"/>
      <c r="Z669" s="107"/>
      <c r="AA669" s="159">
        <v>927.63187</v>
      </c>
      <c r="AB669" s="106">
        <v>594.21927</v>
      </c>
      <c r="AC669" s="107"/>
      <c r="AD669" s="107"/>
      <c r="AE669" s="107"/>
      <c r="AF669" s="107"/>
      <c r="AG669" s="107"/>
      <c r="AH669" s="107"/>
      <c r="AI669" s="107"/>
      <c r="AJ669" s="108">
        <v>0</v>
      </c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7"/>
      <c r="AV669" s="107"/>
      <c r="AW669" s="107"/>
      <c r="AX669" s="107">
        <v>7.9128</v>
      </c>
      <c r="AY669" s="106">
        <v>17.18826</v>
      </c>
      <c r="AZ669" s="107"/>
      <c r="BA669" s="107"/>
      <c r="BB669" s="107"/>
      <c r="BC669" s="107">
        <v>876.21566</v>
      </c>
      <c r="BD669" s="107">
        <v>859.24092</v>
      </c>
      <c r="BE669" s="107"/>
      <c r="BF669" s="107"/>
      <c r="BG669" s="107"/>
      <c r="BH669" s="107"/>
      <c r="BI669" s="107"/>
      <c r="BJ669" s="107">
        <v>5107.04183</v>
      </c>
      <c r="BK669" s="107"/>
      <c r="BL669" s="107"/>
      <c r="BM669" s="107"/>
      <c r="BN669" s="107"/>
      <c r="BO669" s="107"/>
      <c r="BP669" s="107"/>
      <c r="BQ669" s="109"/>
      <c r="BR669" s="109"/>
      <c r="BS669" s="109"/>
      <c r="BT669" s="109"/>
      <c r="BU669" s="138"/>
    </row>
    <row r="670" spans="1:73" ht="31.5" customHeight="1" outlineLevel="2">
      <c r="A670" s="35" t="s">
        <v>704</v>
      </c>
      <c r="B670" s="37" t="s">
        <v>304</v>
      </c>
      <c r="C670" s="20" t="s">
        <v>1496</v>
      </c>
      <c r="D670" s="218" t="s">
        <v>252</v>
      </c>
      <c r="E670" s="203" t="s">
        <v>2478</v>
      </c>
      <c r="F670" s="108">
        <f t="shared" si="109"/>
        <v>895.0130300000001</v>
      </c>
      <c r="G670" s="106">
        <f t="shared" si="116"/>
        <v>382.22149</v>
      </c>
      <c r="H670" s="106">
        <f t="shared" si="117"/>
        <v>512.79154</v>
      </c>
      <c r="I670" s="107"/>
      <c r="J670" s="107"/>
      <c r="K670" s="107"/>
      <c r="L670" s="107"/>
      <c r="M670" s="107"/>
      <c r="N670" s="107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7"/>
      <c r="Z670" s="107"/>
      <c r="AA670" s="159">
        <v>134.04988</v>
      </c>
      <c r="AB670" s="106">
        <v>118.84385</v>
      </c>
      <c r="AC670" s="107"/>
      <c r="AD670" s="107"/>
      <c r="AE670" s="107"/>
      <c r="AF670" s="107"/>
      <c r="AG670" s="107"/>
      <c r="AH670" s="107"/>
      <c r="AI670" s="107"/>
      <c r="AJ670" s="108">
        <v>67.006</v>
      </c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7"/>
      <c r="AV670" s="107"/>
      <c r="AW670" s="107"/>
      <c r="AX670" s="107">
        <v>64.3672</v>
      </c>
      <c r="AY670" s="106">
        <v>74.22642</v>
      </c>
      <c r="AZ670" s="107"/>
      <c r="BA670" s="107">
        <v>72.4668</v>
      </c>
      <c r="BB670" s="107"/>
      <c r="BC670" s="107">
        <v>183.80441</v>
      </c>
      <c r="BD670" s="107">
        <v>180.24847</v>
      </c>
      <c r="BE670" s="107"/>
      <c r="BF670" s="107"/>
      <c r="BG670" s="107"/>
      <c r="BH670" s="107"/>
      <c r="BI670" s="107"/>
      <c r="BJ670" s="107"/>
      <c r="BK670" s="107"/>
      <c r="BL670" s="107"/>
      <c r="BM670" s="107"/>
      <c r="BN670" s="107"/>
      <c r="BO670" s="107"/>
      <c r="BP670" s="107"/>
      <c r="BQ670" s="109"/>
      <c r="BR670" s="109"/>
      <c r="BS670" s="109"/>
      <c r="BT670" s="109"/>
      <c r="BU670" s="138"/>
    </row>
    <row r="671" spans="1:73" ht="33.75" customHeight="1" outlineLevel="2">
      <c r="A671" s="35" t="s">
        <v>704</v>
      </c>
      <c r="B671" s="37" t="s">
        <v>305</v>
      </c>
      <c r="C671" s="20" t="s">
        <v>1496</v>
      </c>
      <c r="D671" s="218" t="s">
        <v>536</v>
      </c>
      <c r="E671" s="203" t="s">
        <v>2480</v>
      </c>
      <c r="F671" s="108">
        <f t="shared" si="109"/>
        <v>5546.626189999999</v>
      </c>
      <c r="G671" s="106">
        <f t="shared" si="116"/>
        <v>3170.1376299999997</v>
      </c>
      <c r="H671" s="106">
        <f t="shared" si="117"/>
        <v>2376.48856</v>
      </c>
      <c r="I671" s="107"/>
      <c r="J671" s="107"/>
      <c r="K671" s="107">
        <v>1774.66948</v>
      </c>
      <c r="L671" s="107">
        <v>101.48476</v>
      </c>
      <c r="M671" s="107"/>
      <c r="N671" s="107"/>
      <c r="O671" s="106"/>
      <c r="P671" s="106"/>
      <c r="Q671" s="106"/>
      <c r="R671" s="106"/>
      <c r="S671" s="106">
        <v>53.71061</v>
      </c>
      <c r="T671" s="106">
        <v>18.46301</v>
      </c>
      <c r="U671" s="106"/>
      <c r="V671" s="106"/>
      <c r="W671" s="106"/>
      <c r="X671" s="106"/>
      <c r="Y671" s="107"/>
      <c r="Z671" s="107"/>
      <c r="AA671" s="159">
        <v>599.81098</v>
      </c>
      <c r="AB671" s="106">
        <v>396.14618</v>
      </c>
      <c r="AC671" s="107"/>
      <c r="AD671" s="107"/>
      <c r="AE671" s="107"/>
      <c r="AF671" s="107"/>
      <c r="AG671" s="107"/>
      <c r="AH671" s="107"/>
      <c r="AI671" s="107"/>
      <c r="AJ671" s="108">
        <v>0</v>
      </c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7"/>
      <c r="AV671" s="107"/>
      <c r="AW671" s="107"/>
      <c r="AX671" s="107"/>
      <c r="AY671" s="106">
        <v>102.3681</v>
      </c>
      <c r="AZ671" s="107"/>
      <c r="BA671" s="107"/>
      <c r="BB671" s="107"/>
      <c r="BC671" s="107">
        <v>741.94656</v>
      </c>
      <c r="BD671" s="107">
        <v>727.59005</v>
      </c>
      <c r="BE671" s="107"/>
      <c r="BF671" s="107"/>
      <c r="BG671" s="107"/>
      <c r="BH671" s="107"/>
      <c r="BI671" s="107"/>
      <c r="BJ671" s="107">
        <v>1030.43646</v>
      </c>
      <c r="BK671" s="107"/>
      <c r="BL671" s="107"/>
      <c r="BM671" s="107"/>
      <c r="BN671" s="107"/>
      <c r="BO671" s="107"/>
      <c r="BP671" s="107"/>
      <c r="BQ671" s="109"/>
      <c r="BR671" s="109"/>
      <c r="BS671" s="109"/>
      <c r="BT671" s="109"/>
      <c r="BU671" s="138"/>
    </row>
    <row r="672" spans="1:73" ht="39.75" customHeight="1" outlineLevel="2">
      <c r="A672" s="35" t="s">
        <v>704</v>
      </c>
      <c r="B672" s="22" t="s">
        <v>1327</v>
      </c>
      <c r="C672" s="20" t="s">
        <v>1496</v>
      </c>
      <c r="D672" s="218" t="s">
        <v>512</v>
      </c>
      <c r="E672" s="203" t="s">
        <v>2479</v>
      </c>
      <c r="F672" s="108">
        <f t="shared" si="109"/>
        <v>42.270309999999995</v>
      </c>
      <c r="G672" s="106">
        <f t="shared" si="116"/>
        <v>21.34187</v>
      </c>
      <c r="H672" s="106">
        <f t="shared" si="117"/>
        <v>20.92844</v>
      </c>
      <c r="I672" s="107"/>
      <c r="J672" s="107"/>
      <c r="K672" s="107"/>
      <c r="L672" s="107"/>
      <c r="M672" s="107"/>
      <c r="N672" s="107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7"/>
      <c r="Z672" s="107"/>
      <c r="AA672" s="159"/>
      <c r="AB672" s="106"/>
      <c r="AC672" s="107"/>
      <c r="AD672" s="107"/>
      <c r="AE672" s="107"/>
      <c r="AF672" s="107"/>
      <c r="AG672" s="107"/>
      <c r="AH672" s="107"/>
      <c r="AI672" s="107"/>
      <c r="AJ672" s="108">
        <v>0</v>
      </c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7"/>
      <c r="AV672" s="107"/>
      <c r="AW672" s="107"/>
      <c r="AX672" s="107"/>
      <c r="AY672" s="106"/>
      <c r="AZ672" s="107"/>
      <c r="BA672" s="107"/>
      <c r="BB672" s="107"/>
      <c r="BC672" s="107">
        <v>21.34187</v>
      </c>
      <c r="BD672" s="107">
        <v>20.92844</v>
      </c>
      <c r="BE672" s="107"/>
      <c r="BF672" s="107"/>
      <c r="BG672" s="107"/>
      <c r="BH672" s="107"/>
      <c r="BI672" s="107"/>
      <c r="BJ672" s="107"/>
      <c r="BK672" s="107"/>
      <c r="BL672" s="107"/>
      <c r="BM672" s="107"/>
      <c r="BN672" s="107"/>
      <c r="BO672" s="107"/>
      <c r="BP672" s="107"/>
      <c r="BQ672" s="109"/>
      <c r="BR672" s="109"/>
      <c r="BS672" s="109"/>
      <c r="BT672" s="109"/>
      <c r="BU672" s="138"/>
    </row>
    <row r="673" spans="1:73" ht="38.25" customHeight="1" outlineLevel="2">
      <c r="A673" s="35" t="s">
        <v>704</v>
      </c>
      <c r="B673" s="22" t="s">
        <v>1328</v>
      </c>
      <c r="C673" s="20" t="s">
        <v>587</v>
      </c>
      <c r="D673" s="218" t="s">
        <v>579</v>
      </c>
      <c r="E673" s="220" t="s">
        <v>2470</v>
      </c>
      <c r="F673" s="108">
        <f t="shared" si="109"/>
        <v>299.04194</v>
      </c>
      <c r="G673" s="106">
        <f t="shared" si="116"/>
        <v>130.0822</v>
      </c>
      <c r="H673" s="106">
        <f t="shared" si="117"/>
        <v>168.95974</v>
      </c>
      <c r="I673" s="107"/>
      <c r="J673" s="107"/>
      <c r="K673" s="107"/>
      <c r="L673" s="107"/>
      <c r="M673" s="107"/>
      <c r="N673" s="107"/>
      <c r="O673" s="106">
        <v>61.88329</v>
      </c>
      <c r="P673" s="106">
        <v>3.25701</v>
      </c>
      <c r="Q673" s="106"/>
      <c r="R673" s="106"/>
      <c r="S673" s="106"/>
      <c r="T673" s="106"/>
      <c r="U673" s="106"/>
      <c r="V673" s="106"/>
      <c r="W673" s="106"/>
      <c r="X673" s="106"/>
      <c r="Y673" s="107">
        <v>15.2</v>
      </c>
      <c r="Z673" s="107">
        <v>49.854</v>
      </c>
      <c r="AA673" s="159">
        <v>28.73101</v>
      </c>
      <c r="AB673" s="106">
        <v>19.80731</v>
      </c>
      <c r="AC673" s="107"/>
      <c r="AD673" s="107"/>
      <c r="AE673" s="107"/>
      <c r="AF673" s="107"/>
      <c r="AG673" s="107"/>
      <c r="AH673" s="107"/>
      <c r="AI673" s="107"/>
      <c r="AJ673" s="108">
        <v>2.15088</v>
      </c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7"/>
      <c r="AV673" s="107"/>
      <c r="AW673" s="107"/>
      <c r="AX673" s="107"/>
      <c r="AY673" s="106"/>
      <c r="AZ673" s="107">
        <v>70.092</v>
      </c>
      <c r="BA673" s="107"/>
      <c r="BB673" s="107"/>
      <c r="BC673" s="107">
        <v>24.2679</v>
      </c>
      <c r="BD673" s="107">
        <v>23.79854</v>
      </c>
      <c r="BE673" s="107"/>
      <c r="BF673" s="107"/>
      <c r="BG673" s="107"/>
      <c r="BH673" s="107"/>
      <c r="BI673" s="107"/>
      <c r="BJ673" s="107"/>
      <c r="BK673" s="107"/>
      <c r="BL673" s="107"/>
      <c r="BM673" s="107"/>
      <c r="BN673" s="107"/>
      <c r="BO673" s="107"/>
      <c r="BP673" s="107"/>
      <c r="BQ673" s="109"/>
      <c r="BR673" s="109"/>
      <c r="BS673" s="109"/>
      <c r="BT673" s="109"/>
      <c r="BU673" s="138"/>
    </row>
    <row r="674" spans="1:73" ht="38.25" customHeight="1" outlineLevel="2">
      <c r="A674" s="35" t="s">
        <v>704</v>
      </c>
      <c r="B674" s="37" t="s">
        <v>1168</v>
      </c>
      <c r="C674" s="20" t="s">
        <v>587</v>
      </c>
      <c r="D674" s="218" t="s">
        <v>705</v>
      </c>
      <c r="E674" s="220" t="s">
        <v>2471</v>
      </c>
      <c r="F674" s="108">
        <f t="shared" si="109"/>
        <v>1223.71053</v>
      </c>
      <c r="G674" s="106">
        <f t="shared" si="116"/>
        <v>658.73964</v>
      </c>
      <c r="H674" s="106">
        <f t="shared" si="117"/>
        <v>564.97089</v>
      </c>
      <c r="I674" s="107"/>
      <c r="J674" s="107"/>
      <c r="K674" s="107"/>
      <c r="L674" s="107"/>
      <c r="M674" s="107"/>
      <c r="N674" s="107"/>
      <c r="O674" s="106">
        <v>30.02751</v>
      </c>
      <c r="P674" s="106">
        <v>1.58039</v>
      </c>
      <c r="Q674" s="106"/>
      <c r="R674" s="106"/>
      <c r="S674" s="106"/>
      <c r="T674" s="106"/>
      <c r="U674" s="106"/>
      <c r="V674" s="106"/>
      <c r="W674" s="106"/>
      <c r="X674" s="106"/>
      <c r="Y674" s="107"/>
      <c r="Z674" s="107"/>
      <c r="AA674" s="159">
        <v>175.40087</v>
      </c>
      <c r="AB674" s="106">
        <v>118.84385</v>
      </c>
      <c r="AC674" s="107"/>
      <c r="AD674" s="107"/>
      <c r="AE674" s="107"/>
      <c r="AF674" s="107"/>
      <c r="AG674" s="107"/>
      <c r="AH674" s="107"/>
      <c r="AI674" s="107"/>
      <c r="AJ674" s="108">
        <v>0</v>
      </c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7"/>
      <c r="AV674" s="107"/>
      <c r="AW674" s="107"/>
      <c r="AX674" s="107"/>
      <c r="AY674" s="106"/>
      <c r="AZ674" s="107"/>
      <c r="BA674" s="107"/>
      <c r="BB674" s="107"/>
      <c r="BC674" s="107">
        <v>453.31126</v>
      </c>
      <c r="BD674" s="107">
        <v>444.54665</v>
      </c>
      <c r="BE674" s="107"/>
      <c r="BF674" s="107"/>
      <c r="BG674" s="107"/>
      <c r="BH674" s="107"/>
      <c r="BI674" s="107"/>
      <c r="BJ674" s="107"/>
      <c r="BK674" s="107"/>
      <c r="BL674" s="107"/>
      <c r="BM674" s="107"/>
      <c r="BN674" s="107"/>
      <c r="BO674" s="107"/>
      <c r="BP674" s="107"/>
      <c r="BQ674" s="109"/>
      <c r="BR674" s="109"/>
      <c r="BS674" s="109"/>
      <c r="BT674" s="109"/>
      <c r="BU674" s="138"/>
    </row>
    <row r="675" spans="1:73" ht="38.25" customHeight="1" outlineLevel="2">
      <c r="A675" s="35" t="s">
        <v>704</v>
      </c>
      <c r="B675" s="37" t="s">
        <v>1770</v>
      </c>
      <c r="C675" s="20" t="s">
        <v>587</v>
      </c>
      <c r="D675" s="218" t="s">
        <v>1811</v>
      </c>
      <c r="E675" s="220" t="s">
        <v>2472</v>
      </c>
      <c r="F675" s="108">
        <f t="shared" si="109"/>
        <v>1500</v>
      </c>
      <c r="G675" s="106">
        <f t="shared" si="116"/>
        <v>1500</v>
      </c>
      <c r="H675" s="106">
        <f t="shared" si="117"/>
        <v>0</v>
      </c>
      <c r="I675" s="107"/>
      <c r="J675" s="107"/>
      <c r="K675" s="107"/>
      <c r="L675" s="107"/>
      <c r="M675" s="107"/>
      <c r="N675" s="107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7"/>
      <c r="Z675" s="107"/>
      <c r="AA675" s="159"/>
      <c r="AB675" s="106"/>
      <c r="AC675" s="107"/>
      <c r="AD675" s="107"/>
      <c r="AE675" s="107"/>
      <c r="AF675" s="107"/>
      <c r="AG675" s="107"/>
      <c r="AH675" s="107"/>
      <c r="AI675" s="107"/>
      <c r="AJ675" s="108">
        <v>0</v>
      </c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7"/>
      <c r="AV675" s="107"/>
      <c r="AW675" s="107"/>
      <c r="AX675" s="107"/>
      <c r="AY675" s="106"/>
      <c r="AZ675" s="107"/>
      <c r="BA675" s="107"/>
      <c r="BB675" s="107"/>
      <c r="BC675" s="107"/>
      <c r="BD675" s="107"/>
      <c r="BE675" s="107"/>
      <c r="BF675" s="107"/>
      <c r="BG675" s="107"/>
      <c r="BH675" s="107"/>
      <c r="BI675" s="107"/>
      <c r="BJ675" s="107"/>
      <c r="BK675" s="107"/>
      <c r="BL675" s="107"/>
      <c r="BM675" s="107"/>
      <c r="BN675" s="107"/>
      <c r="BO675" s="107"/>
      <c r="BP675" s="107"/>
      <c r="BQ675" s="109"/>
      <c r="BR675" s="109">
        <v>1500</v>
      </c>
      <c r="BS675" s="109"/>
      <c r="BT675" s="109"/>
      <c r="BU675" s="138"/>
    </row>
    <row r="676" spans="1:73" ht="38.25" customHeight="1" outlineLevel="2">
      <c r="A676" s="35" t="s">
        <v>704</v>
      </c>
      <c r="B676" s="37" t="s">
        <v>1769</v>
      </c>
      <c r="C676" s="20" t="s">
        <v>587</v>
      </c>
      <c r="D676" s="218" t="s">
        <v>1812</v>
      </c>
      <c r="E676" s="220" t="s">
        <v>2473</v>
      </c>
      <c r="F676" s="108">
        <f t="shared" si="109"/>
        <v>1500</v>
      </c>
      <c r="G676" s="106">
        <f t="shared" si="116"/>
        <v>1500</v>
      </c>
      <c r="H676" s="106">
        <f t="shared" si="117"/>
        <v>0</v>
      </c>
      <c r="I676" s="107"/>
      <c r="J676" s="107"/>
      <c r="K676" s="107"/>
      <c r="L676" s="107"/>
      <c r="M676" s="107"/>
      <c r="N676" s="107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7"/>
      <c r="Z676" s="107"/>
      <c r="AA676" s="159"/>
      <c r="AB676" s="106"/>
      <c r="AC676" s="107"/>
      <c r="AD676" s="107"/>
      <c r="AE676" s="107"/>
      <c r="AF676" s="107"/>
      <c r="AG676" s="107"/>
      <c r="AH676" s="107"/>
      <c r="AI676" s="107"/>
      <c r="AJ676" s="108">
        <v>0</v>
      </c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7"/>
      <c r="AV676" s="107"/>
      <c r="AW676" s="107"/>
      <c r="AX676" s="107"/>
      <c r="AY676" s="106"/>
      <c r="AZ676" s="107"/>
      <c r="BA676" s="107"/>
      <c r="BB676" s="107"/>
      <c r="BC676" s="107"/>
      <c r="BD676" s="107"/>
      <c r="BE676" s="107"/>
      <c r="BF676" s="107"/>
      <c r="BG676" s="107"/>
      <c r="BH676" s="107"/>
      <c r="BI676" s="107"/>
      <c r="BJ676" s="107"/>
      <c r="BK676" s="107"/>
      <c r="BL676" s="107"/>
      <c r="BM676" s="107"/>
      <c r="BN676" s="107"/>
      <c r="BO676" s="107"/>
      <c r="BP676" s="107"/>
      <c r="BQ676" s="109"/>
      <c r="BR676" s="109">
        <v>1500</v>
      </c>
      <c r="BS676" s="109"/>
      <c r="BT676" s="109"/>
      <c r="BU676" s="138"/>
    </row>
    <row r="677" spans="1:73" ht="38.25" customHeight="1" outlineLevel="2">
      <c r="A677" s="35" t="s">
        <v>704</v>
      </c>
      <c r="B677" s="37" t="s">
        <v>1629</v>
      </c>
      <c r="C677" s="20" t="s">
        <v>587</v>
      </c>
      <c r="D677" s="218" t="s">
        <v>1679</v>
      </c>
      <c r="E677" s="220" t="s">
        <v>2474</v>
      </c>
      <c r="F677" s="108">
        <f aca="true" t="shared" si="118" ref="F677:F740">G677+H677</f>
        <v>53.173350000000006</v>
      </c>
      <c r="G677" s="106">
        <f t="shared" si="116"/>
        <v>26.427660000000003</v>
      </c>
      <c r="H677" s="106">
        <f t="shared" si="117"/>
        <v>26.745690000000003</v>
      </c>
      <c r="I677" s="107"/>
      <c r="J677" s="107"/>
      <c r="K677" s="107"/>
      <c r="L677" s="107"/>
      <c r="M677" s="107"/>
      <c r="N677" s="107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7"/>
      <c r="Z677" s="107"/>
      <c r="AA677" s="159">
        <v>9.25294</v>
      </c>
      <c r="AB677" s="106">
        <v>9.90365</v>
      </c>
      <c r="AC677" s="107"/>
      <c r="AD677" s="107"/>
      <c r="AE677" s="107"/>
      <c r="AF677" s="107"/>
      <c r="AG677" s="107"/>
      <c r="AH677" s="107"/>
      <c r="AI677" s="107"/>
      <c r="AJ677" s="108">
        <v>0</v>
      </c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7"/>
      <c r="AV677" s="107"/>
      <c r="AW677" s="107"/>
      <c r="AX677" s="107"/>
      <c r="AY677" s="106"/>
      <c r="AZ677" s="107"/>
      <c r="BA677" s="107"/>
      <c r="BB677" s="107"/>
      <c r="BC677" s="107">
        <v>17.17472</v>
      </c>
      <c r="BD677" s="107">
        <v>16.84204</v>
      </c>
      <c r="BE677" s="107"/>
      <c r="BF677" s="107"/>
      <c r="BG677" s="107"/>
      <c r="BH677" s="107"/>
      <c r="BI677" s="107"/>
      <c r="BJ677" s="107"/>
      <c r="BK677" s="107"/>
      <c r="BL677" s="107"/>
      <c r="BM677" s="107"/>
      <c r="BN677" s="107"/>
      <c r="BO677" s="107"/>
      <c r="BP677" s="107"/>
      <c r="BQ677" s="109"/>
      <c r="BR677" s="109"/>
      <c r="BS677" s="109"/>
      <c r="BT677" s="109"/>
      <c r="BU677" s="138"/>
    </row>
    <row r="678" spans="1:73" ht="38.25" customHeight="1" outlineLevel="2">
      <c r="A678" s="35" t="s">
        <v>704</v>
      </c>
      <c r="B678" s="37" t="s">
        <v>1628</v>
      </c>
      <c r="C678" s="20" t="s">
        <v>710</v>
      </c>
      <c r="D678" s="218" t="s">
        <v>1678</v>
      </c>
      <c r="E678" s="220" t="s">
        <v>2475</v>
      </c>
      <c r="F678" s="108">
        <f t="shared" si="118"/>
        <v>270.46604</v>
      </c>
      <c r="G678" s="106">
        <f t="shared" si="116"/>
        <v>141.33010000000002</v>
      </c>
      <c r="H678" s="106">
        <f t="shared" si="117"/>
        <v>129.13594</v>
      </c>
      <c r="I678" s="107"/>
      <c r="J678" s="107"/>
      <c r="K678" s="107"/>
      <c r="L678" s="107"/>
      <c r="M678" s="107"/>
      <c r="N678" s="107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7"/>
      <c r="Z678" s="107"/>
      <c r="AA678" s="159">
        <v>45.99593</v>
      </c>
      <c r="AB678" s="106">
        <v>35.65316</v>
      </c>
      <c r="AC678" s="107"/>
      <c r="AD678" s="107"/>
      <c r="AE678" s="107"/>
      <c r="AF678" s="107"/>
      <c r="AG678" s="107"/>
      <c r="AH678" s="107"/>
      <c r="AI678" s="107"/>
      <c r="AJ678" s="108">
        <v>0</v>
      </c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7"/>
      <c r="AV678" s="107"/>
      <c r="AW678" s="107"/>
      <c r="AX678" s="107"/>
      <c r="AY678" s="106"/>
      <c r="AZ678" s="107"/>
      <c r="BA678" s="107"/>
      <c r="BB678" s="107"/>
      <c r="BC678" s="107">
        <v>95.33417</v>
      </c>
      <c r="BD678" s="107">
        <v>93.48278</v>
      </c>
      <c r="BE678" s="107"/>
      <c r="BF678" s="107"/>
      <c r="BG678" s="107"/>
      <c r="BH678" s="107"/>
      <c r="BI678" s="107"/>
      <c r="BJ678" s="107"/>
      <c r="BK678" s="107"/>
      <c r="BL678" s="107"/>
      <c r="BM678" s="107"/>
      <c r="BN678" s="107"/>
      <c r="BO678" s="107"/>
      <c r="BP678" s="107"/>
      <c r="BQ678" s="109"/>
      <c r="BR678" s="109"/>
      <c r="BS678" s="109"/>
      <c r="BT678" s="109"/>
      <c r="BU678" s="138"/>
    </row>
    <row r="679" spans="1:73" ht="33" customHeight="1" outlineLevel="2">
      <c r="A679" s="38" t="s">
        <v>704</v>
      </c>
      <c r="B679" s="39" t="s">
        <v>253</v>
      </c>
      <c r="C679" s="27" t="s">
        <v>934</v>
      </c>
      <c r="D679" s="219" t="s">
        <v>254</v>
      </c>
      <c r="E679" s="203" t="s">
        <v>2484</v>
      </c>
      <c r="F679" s="108">
        <f t="shared" si="118"/>
        <v>1508.3778</v>
      </c>
      <c r="G679" s="106">
        <f t="shared" si="116"/>
        <v>0</v>
      </c>
      <c r="H679" s="106">
        <f t="shared" si="117"/>
        <v>1508.3778</v>
      </c>
      <c r="I679" s="113"/>
      <c r="J679" s="113"/>
      <c r="K679" s="113"/>
      <c r="L679" s="113"/>
      <c r="M679" s="113"/>
      <c r="N679" s="113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3"/>
      <c r="Z679" s="113"/>
      <c r="AA679" s="114"/>
      <c r="AB679" s="114"/>
      <c r="AC679" s="113"/>
      <c r="AD679" s="113"/>
      <c r="AE679" s="113"/>
      <c r="AF679" s="113"/>
      <c r="AG679" s="113"/>
      <c r="AH679" s="113"/>
      <c r="AI679" s="113"/>
      <c r="AJ679" s="108">
        <v>0</v>
      </c>
      <c r="AK679" s="113"/>
      <c r="AL679" s="113"/>
      <c r="AM679" s="113"/>
      <c r="AN679" s="113"/>
      <c r="AO679" s="113"/>
      <c r="AP679" s="113"/>
      <c r="AQ679" s="113"/>
      <c r="AR679" s="113"/>
      <c r="AS679" s="113"/>
      <c r="AT679" s="113"/>
      <c r="AU679" s="113"/>
      <c r="AV679" s="113"/>
      <c r="AW679" s="113"/>
      <c r="AX679" s="113"/>
      <c r="AY679" s="114"/>
      <c r="AZ679" s="113"/>
      <c r="BA679" s="113">
        <f>107.8262+41.25765</f>
        <v>149.08384999999998</v>
      </c>
      <c r="BB679" s="113"/>
      <c r="BC679" s="113"/>
      <c r="BD679" s="113"/>
      <c r="BE679" s="113"/>
      <c r="BF679" s="113"/>
      <c r="BG679" s="113"/>
      <c r="BH679" s="113"/>
      <c r="BI679" s="113"/>
      <c r="BJ679" s="113"/>
      <c r="BK679" s="113"/>
      <c r="BL679" s="113"/>
      <c r="BM679" s="113"/>
      <c r="BN679" s="113">
        <v>1359.29395</v>
      </c>
      <c r="BO679" s="113"/>
      <c r="BP679" s="113"/>
      <c r="BQ679" s="115"/>
      <c r="BR679" s="115"/>
      <c r="BS679" s="115"/>
      <c r="BT679" s="115"/>
      <c r="BU679" s="139"/>
    </row>
    <row r="680" spans="1:73" ht="30.75" customHeight="1" outlineLevel="2">
      <c r="A680" s="35" t="s">
        <v>704</v>
      </c>
      <c r="B680" s="37" t="s">
        <v>706</v>
      </c>
      <c r="C680" s="20" t="s">
        <v>934</v>
      </c>
      <c r="D680" s="218" t="s">
        <v>1593</v>
      </c>
      <c r="E680" s="203" t="s">
        <v>2485</v>
      </c>
      <c r="F680" s="108">
        <f t="shared" si="118"/>
        <v>1418.70908</v>
      </c>
      <c r="G680" s="106">
        <f t="shared" si="116"/>
        <v>0</v>
      </c>
      <c r="H680" s="106">
        <f t="shared" si="117"/>
        <v>1418.70908</v>
      </c>
      <c r="I680" s="107"/>
      <c r="J680" s="107"/>
      <c r="K680" s="107"/>
      <c r="L680" s="107"/>
      <c r="M680" s="107"/>
      <c r="N680" s="107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7"/>
      <c r="Z680" s="107"/>
      <c r="AA680" s="106"/>
      <c r="AB680" s="106"/>
      <c r="AC680" s="107"/>
      <c r="AD680" s="107"/>
      <c r="AE680" s="107"/>
      <c r="AF680" s="107"/>
      <c r="AG680" s="107"/>
      <c r="AH680" s="107"/>
      <c r="AI680" s="107"/>
      <c r="AJ680" s="108">
        <v>0</v>
      </c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7"/>
      <c r="AV680" s="107"/>
      <c r="AW680" s="107"/>
      <c r="AX680" s="107"/>
      <c r="AY680" s="106"/>
      <c r="AZ680" s="107"/>
      <c r="BA680" s="107"/>
      <c r="BB680" s="107"/>
      <c r="BC680" s="107"/>
      <c r="BD680" s="107"/>
      <c r="BE680" s="107"/>
      <c r="BF680" s="107"/>
      <c r="BG680" s="107"/>
      <c r="BH680" s="107"/>
      <c r="BI680" s="107"/>
      <c r="BJ680" s="107"/>
      <c r="BK680" s="107"/>
      <c r="BL680" s="107"/>
      <c r="BM680" s="107"/>
      <c r="BN680" s="107">
        <v>1418.70908</v>
      </c>
      <c r="BO680" s="107"/>
      <c r="BP680" s="107"/>
      <c r="BQ680" s="109"/>
      <c r="BR680" s="109"/>
      <c r="BS680" s="109"/>
      <c r="BT680" s="109"/>
      <c r="BU680" s="138"/>
    </row>
    <row r="681" spans="1:73" ht="61.5" outlineLevel="2" thickBot="1">
      <c r="A681" s="35" t="s">
        <v>704</v>
      </c>
      <c r="B681" s="37" t="s">
        <v>219</v>
      </c>
      <c r="C681" s="20" t="s">
        <v>1422</v>
      </c>
      <c r="D681" s="218" t="s">
        <v>2483</v>
      </c>
      <c r="E681" s="203" t="s">
        <v>2482</v>
      </c>
      <c r="F681" s="108">
        <f t="shared" si="118"/>
        <v>2597.89404</v>
      </c>
      <c r="G681" s="106">
        <f t="shared" si="116"/>
        <v>0</v>
      </c>
      <c r="H681" s="106">
        <f t="shared" si="117"/>
        <v>2597.89404</v>
      </c>
      <c r="I681" s="107"/>
      <c r="J681" s="107"/>
      <c r="K681" s="107"/>
      <c r="L681" s="107"/>
      <c r="M681" s="107"/>
      <c r="N681" s="107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7"/>
      <c r="Z681" s="107"/>
      <c r="AA681" s="106"/>
      <c r="AB681" s="106"/>
      <c r="AC681" s="107"/>
      <c r="AD681" s="107"/>
      <c r="AE681" s="107"/>
      <c r="AF681" s="107"/>
      <c r="AG681" s="107"/>
      <c r="AH681" s="201">
        <f>948.375+332.8</f>
        <v>1281.175</v>
      </c>
      <c r="AI681" s="107"/>
      <c r="AJ681" s="108">
        <v>46.56904</v>
      </c>
      <c r="AK681" s="107"/>
      <c r="AL681" s="107"/>
      <c r="AM681" s="107"/>
      <c r="AN681" s="107"/>
      <c r="AO681" s="107"/>
      <c r="AP681" s="107"/>
      <c r="AQ681" s="107"/>
      <c r="AR681" s="107"/>
      <c r="AS681" s="107"/>
      <c r="AT681" s="107"/>
      <c r="AU681" s="107"/>
      <c r="AV681" s="107"/>
      <c r="AW681" s="107"/>
      <c r="AX681" s="107"/>
      <c r="AY681" s="106"/>
      <c r="AZ681" s="107"/>
      <c r="BA681" s="107"/>
      <c r="BB681" s="107"/>
      <c r="BC681" s="107"/>
      <c r="BD681" s="107"/>
      <c r="BE681" s="107"/>
      <c r="BF681" s="107"/>
      <c r="BG681" s="107"/>
      <c r="BH681" s="107"/>
      <c r="BI681" s="107"/>
      <c r="BJ681" s="107"/>
      <c r="BK681" s="107">
        <v>1270.15</v>
      </c>
      <c r="BL681" s="107"/>
      <c r="BM681" s="107"/>
      <c r="BN681" s="107"/>
      <c r="BO681" s="107"/>
      <c r="BP681" s="107"/>
      <c r="BQ681" s="109"/>
      <c r="BR681" s="109"/>
      <c r="BS681" s="109"/>
      <c r="BT681" s="109"/>
      <c r="BU681" s="138"/>
    </row>
    <row r="682" spans="1:73" s="32" customFormat="1" ht="21" outlineLevel="1" thickBot="1">
      <c r="A682" s="40" t="s">
        <v>255</v>
      </c>
      <c r="B682" s="41"/>
      <c r="C682" s="30" t="s">
        <v>1572</v>
      </c>
      <c r="D682" s="222"/>
      <c r="E682" s="223"/>
      <c r="F682" s="116">
        <f aca="true" t="shared" si="119" ref="F682:BJ682">SUBTOTAL(9,F667:F681)</f>
        <v>37681.38139</v>
      </c>
      <c r="G682" s="116">
        <f t="shared" si="119"/>
        <v>13352.63352</v>
      </c>
      <c r="H682" s="116">
        <f t="shared" si="119"/>
        <v>24328.74787</v>
      </c>
      <c r="I682" s="116">
        <f t="shared" si="119"/>
        <v>0</v>
      </c>
      <c r="J682" s="116">
        <f t="shared" si="119"/>
        <v>0</v>
      </c>
      <c r="K682" s="116">
        <f t="shared" si="119"/>
        <v>3661.54331</v>
      </c>
      <c r="L682" s="116">
        <f t="shared" si="119"/>
        <v>338.58706</v>
      </c>
      <c r="M682" s="116">
        <f t="shared" si="119"/>
        <v>318.59722</v>
      </c>
      <c r="N682" s="116">
        <f t="shared" si="119"/>
        <v>0</v>
      </c>
      <c r="O682" s="116">
        <f t="shared" si="119"/>
        <v>91.9108</v>
      </c>
      <c r="P682" s="116">
        <f t="shared" si="119"/>
        <v>4.837400000000001</v>
      </c>
      <c r="Q682" s="116">
        <f t="shared" si="119"/>
        <v>0</v>
      </c>
      <c r="R682" s="116">
        <f t="shared" si="119"/>
        <v>0</v>
      </c>
      <c r="S682" s="116">
        <f t="shared" si="119"/>
        <v>53.71061</v>
      </c>
      <c r="T682" s="116">
        <f t="shared" si="119"/>
        <v>18.46301</v>
      </c>
      <c r="U682" s="116">
        <f t="shared" si="119"/>
        <v>0</v>
      </c>
      <c r="V682" s="116">
        <f t="shared" si="119"/>
        <v>0</v>
      </c>
      <c r="W682" s="116">
        <f t="shared" si="119"/>
        <v>0</v>
      </c>
      <c r="X682" s="116">
        <f t="shared" si="119"/>
        <v>0</v>
      </c>
      <c r="Y682" s="116">
        <f t="shared" si="119"/>
        <v>47.692840000000004</v>
      </c>
      <c r="Z682" s="116">
        <f t="shared" si="119"/>
        <v>203.98379999999997</v>
      </c>
      <c r="AA682" s="116">
        <f t="shared" si="119"/>
        <v>2812.6445799999997</v>
      </c>
      <c r="AB682" s="116">
        <f t="shared" si="119"/>
        <v>2026.28771</v>
      </c>
      <c r="AC682" s="116">
        <f t="shared" si="119"/>
        <v>0</v>
      </c>
      <c r="AD682" s="116">
        <f t="shared" si="119"/>
        <v>0</v>
      </c>
      <c r="AE682" s="116">
        <f t="shared" si="119"/>
        <v>0</v>
      </c>
      <c r="AF682" s="116">
        <f t="shared" si="119"/>
        <v>0</v>
      </c>
      <c r="AG682" s="116">
        <f t="shared" si="119"/>
        <v>0</v>
      </c>
      <c r="AH682" s="116">
        <f t="shared" si="119"/>
        <v>1281.175</v>
      </c>
      <c r="AI682" s="116">
        <f t="shared" si="119"/>
        <v>0</v>
      </c>
      <c r="AJ682" s="116">
        <f>SUBTOTAL(9,AJ667:AJ681)</f>
        <v>480.68156</v>
      </c>
      <c r="AK682" s="116">
        <f t="shared" si="119"/>
        <v>0</v>
      </c>
      <c r="AL682" s="116">
        <f t="shared" si="119"/>
        <v>0</v>
      </c>
      <c r="AM682" s="116">
        <f t="shared" si="119"/>
        <v>0</v>
      </c>
      <c r="AN682" s="116">
        <f t="shared" si="119"/>
        <v>0</v>
      </c>
      <c r="AO682" s="116">
        <f t="shared" si="119"/>
        <v>0</v>
      </c>
      <c r="AP682" s="116">
        <f t="shared" si="119"/>
        <v>0</v>
      </c>
      <c r="AQ682" s="116">
        <f t="shared" si="119"/>
        <v>0</v>
      </c>
      <c r="AR682" s="116">
        <f t="shared" si="119"/>
        <v>0</v>
      </c>
      <c r="AS682" s="116">
        <f t="shared" si="119"/>
        <v>0</v>
      </c>
      <c r="AT682" s="116">
        <f t="shared" si="119"/>
        <v>0</v>
      </c>
      <c r="AU682" s="116">
        <f t="shared" si="119"/>
        <v>0</v>
      </c>
      <c r="AV682" s="116">
        <f t="shared" si="119"/>
        <v>0</v>
      </c>
      <c r="AW682" s="116">
        <f t="shared" si="119"/>
        <v>0</v>
      </c>
      <c r="AX682" s="116">
        <f t="shared" si="119"/>
        <v>72.28</v>
      </c>
      <c r="AY682" s="116">
        <f t="shared" si="119"/>
        <v>193.78278</v>
      </c>
      <c r="AZ682" s="116">
        <f t="shared" si="119"/>
        <v>70.092</v>
      </c>
      <c r="BA682" s="116">
        <f t="shared" si="119"/>
        <v>1134.7861</v>
      </c>
      <c r="BB682" s="116">
        <f t="shared" si="119"/>
        <v>0</v>
      </c>
      <c r="BC682" s="116">
        <f t="shared" si="119"/>
        <v>3612.85138</v>
      </c>
      <c r="BD682" s="116">
        <f t="shared" si="119"/>
        <v>3542.918209999999</v>
      </c>
      <c r="BE682" s="116">
        <f t="shared" si="119"/>
        <v>0</v>
      </c>
      <c r="BF682" s="116">
        <f t="shared" si="119"/>
        <v>0</v>
      </c>
      <c r="BG682" s="116">
        <f t="shared" si="119"/>
        <v>0</v>
      </c>
      <c r="BH682" s="116">
        <f t="shared" si="119"/>
        <v>0</v>
      </c>
      <c r="BI682" s="116">
        <f t="shared" si="119"/>
        <v>0</v>
      </c>
      <c r="BJ682" s="116">
        <f t="shared" si="119"/>
        <v>10666.402989999999</v>
      </c>
      <c r="BK682" s="116"/>
      <c r="BL682" s="116">
        <f aca="true" t="shared" si="120" ref="BL682:BU682">SUBTOTAL(9,BL667:BL681)</f>
        <v>0</v>
      </c>
      <c r="BM682" s="116">
        <f t="shared" si="120"/>
        <v>0</v>
      </c>
      <c r="BN682" s="116">
        <f t="shared" si="120"/>
        <v>2778.00303</v>
      </c>
      <c r="BO682" s="116">
        <f t="shared" si="120"/>
        <v>0</v>
      </c>
      <c r="BP682" s="116">
        <f t="shared" si="120"/>
        <v>0</v>
      </c>
      <c r="BQ682" s="116">
        <f t="shared" si="120"/>
        <v>0</v>
      </c>
      <c r="BR682" s="116">
        <f t="shared" si="120"/>
        <v>3000</v>
      </c>
      <c r="BS682" s="116">
        <f t="shared" si="120"/>
        <v>0</v>
      </c>
      <c r="BT682" s="116">
        <f t="shared" si="120"/>
        <v>0</v>
      </c>
      <c r="BU682" s="116">
        <f t="shared" si="120"/>
        <v>0</v>
      </c>
    </row>
    <row r="683" spans="1:73" ht="36" customHeight="1" outlineLevel="2">
      <c r="A683" s="2" t="s">
        <v>605</v>
      </c>
      <c r="B683" s="33" t="s">
        <v>676</v>
      </c>
      <c r="C683" s="4" t="s">
        <v>1496</v>
      </c>
      <c r="D683" s="230" t="s">
        <v>1454</v>
      </c>
      <c r="E683" s="203" t="s">
        <v>2487</v>
      </c>
      <c r="F683" s="108">
        <f t="shared" si="118"/>
        <v>15363.74654</v>
      </c>
      <c r="G683" s="106">
        <f>I683+K683+O683+S683+U683+W683+Y683+AA683+AC683+AE683+AR683+AX683+BC683+BG683+BP683+BR683+BT683+AO683</f>
        <v>6480.27696</v>
      </c>
      <c r="H683" s="106">
        <f>J683+L683+M683+N683+P683+Q683+R683+T683+V683+X683+Z683+AB683+AD683+AF683+AG683+AJ683+AL683+AS683+AT683+AU683+AV683+AW683+AY683+AZ683+BA683+BB683+BD683+BE683+BF683+BH683+BI683+BJ683+BL683+BM683+BN683+BO683+BQ683+BS683+BU683+AH683+AI683+AK683+AM683+AN683+AP683+AQ683+BK683</f>
        <v>8883.469579999999</v>
      </c>
      <c r="I683" s="119">
        <v>141.871</v>
      </c>
      <c r="J683" s="119">
        <v>29.02971</v>
      </c>
      <c r="K683" s="119">
        <v>1394.02882</v>
      </c>
      <c r="L683" s="119">
        <v>172.40491</v>
      </c>
      <c r="M683" s="119"/>
      <c r="N683" s="119"/>
      <c r="O683" s="120"/>
      <c r="P683" s="120"/>
      <c r="Q683" s="120">
        <v>38.37192</v>
      </c>
      <c r="R683" s="120"/>
      <c r="S683" s="120"/>
      <c r="T683" s="120"/>
      <c r="U683" s="120"/>
      <c r="V683" s="120"/>
      <c r="W683" s="120">
        <v>2063.43867</v>
      </c>
      <c r="X683" s="120">
        <v>1077.25946</v>
      </c>
      <c r="Y683" s="119">
        <v>77.13132</v>
      </c>
      <c r="Z683" s="119">
        <v>197.478</v>
      </c>
      <c r="AA683" s="163">
        <v>762.11997</v>
      </c>
      <c r="AB683" s="120">
        <v>567.67748</v>
      </c>
      <c r="AC683" s="119"/>
      <c r="AD683" s="119"/>
      <c r="AE683" s="119"/>
      <c r="AF683" s="119"/>
      <c r="AG683" s="119"/>
      <c r="AH683" s="119"/>
      <c r="AI683" s="119"/>
      <c r="AJ683" s="108">
        <v>576.24096</v>
      </c>
      <c r="AK683" s="119">
        <v>51.881</v>
      </c>
      <c r="AL683" s="119"/>
      <c r="AM683" s="119"/>
      <c r="AN683" s="119"/>
      <c r="AO683" s="119"/>
      <c r="AP683" s="119"/>
      <c r="AQ683" s="119"/>
      <c r="AR683" s="119"/>
      <c r="AS683" s="119"/>
      <c r="AT683" s="119"/>
      <c r="AU683" s="119">
        <v>170.2</v>
      </c>
      <c r="AV683" s="119">
        <v>2562.56</v>
      </c>
      <c r="AW683" s="119"/>
      <c r="AX683" s="119"/>
      <c r="AY683" s="120"/>
      <c r="AZ683" s="119"/>
      <c r="BA683" s="119"/>
      <c r="BB683" s="119"/>
      <c r="BC683" s="119">
        <v>2041.68718</v>
      </c>
      <c r="BD683" s="119">
        <v>2002.26252</v>
      </c>
      <c r="BE683" s="119">
        <v>128.99</v>
      </c>
      <c r="BF683" s="119"/>
      <c r="BG683" s="119"/>
      <c r="BH683" s="119"/>
      <c r="BI683" s="119"/>
      <c r="BJ683" s="119">
        <v>1122.76777</v>
      </c>
      <c r="BK683" s="119"/>
      <c r="BL683" s="119"/>
      <c r="BM683" s="119">
        <v>186.34585</v>
      </c>
      <c r="BN683" s="119"/>
      <c r="BO683" s="119"/>
      <c r="BP683" s="119"/>
      <c r="BQ683" s="121"/>
      <c r="BR683" s="121"/>
      <c r="BS683" s="121"/>
      <c r="BT683" s="121"/>
      <c r="BU683" s="140"/>
    </row>
    <row r="684" spans="1:73" ht="36.75" customHeight="1" outlineLevel="2">
      <c r="A684" s="35" t="s">
        <v>605</v>
      </c>
      <c r="B684" s="37" t="s">
        <v>1455</v>
      </c>
      <c r="C684" s="20" t="s">
        <v>1496</v>
      </c>
      <c r="D684" s="218" t="s">
        <v>1456</v>
      </c>
      <c r="E684" s="203" t="s">
        <v>2488</v>
      </c>
      <c r="F684" s="108">
        <f t="shared" si="118"/>
        <v>10513.00869</v>
      </c>
      <c r="G684" s="106">
        <f aca="true" t="shared" si="121" ref="G684:G740">I684+K684+O684+S684+U684+W684+Y684+AA684+AC684+AE684+AR684+AX684+BC684+BG684+BP684+BR684+BT684+AO684</f>
        <v>5436.10594</v>
      </c>
      <c r="H684" s="106">
        <f aca="true" t="shared" si="122" ref="H684:H740">J684+L684+M684+N684+P684+Q684+R684+T684+V684+X684+Z684+AB684+AD684+AF684+AG684+AJ684+AL684+AS684+AT684+AU684+AV684+AW684+AY684+AZ684+BA684+BB684+BD684+BE684+BF684+BH684+BI684+BJ684+BL684+BM684+BN684+BO684+BQ684+BS684+BU684+AH684+AI684+AK684+AM684+AN684+AP684+AQ684+BK684</f>
        <v>5076.90275</v>
      </c>
      <c r="I684" s="107">
        <v>607.26137</v>
      </c>
      <c r="J684" s="107">
        <v>141.30958</v>
      </c>
      <c r="K684" s="107"/>
      <c r="L684" s="107"/>
      <c r="M684" s="107"/>
      <c r="N684" s="107"/>
      <c r="O684" s="106"/>
      <c r="P684" s="106"/>
      <c r="Q684" s="106"/>
      <c r="R684" s="106"/>
      <c r="S684" s="106"/>
      <c r="T684" s="106"/>
      <c r="U684" s="106"/>
      <c r="V684" s="106"/>
      <c r="W684" s="106">
        <v>1998.0913</v>
      </c>
      <c r="X684" s="106">
        <v>1043.14355</v>
      </c>
      <c r="Y684" s="107">
        <v>67.34268</v>
      </c>
      <c r="Z684" s="107">
        <v>319.44</v>
      </c>
      <c r="AA684" s="159">
        <v>873.16242</v>
      </c>
      <c r="AB684" s="106">
        <v>792.29236</v>
      </c>
      <c r="AC684" s="107"/>
      <c r="AD684" s="107"/>
      <c r="AE684" s="107"/>
      <c r="AF684" s="107"/>
      <c r="AG684" s="107">
        <v>27.3042</v>
      </c>
      <c r="AH684" s="107"/>
      <c r="AI684" s="107"/>
      <c r="AJ684" s="108">
        <v>183.36252</v>
      </c>
      <c r="AK684" s="107">
        <v>40.9737</v>
      </c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7"/>
      <c r="AV684" s="107"/>
      <c r="AW684" s="107"/>
      <c r="AX684" s="107"/>
      <c r="AY684" s="106">
        <v>463.00334</v>
      </c>
      <c r="AZ684" s="107"/>
      <c r="BA684" s="107"/>
      <c r="BB684" s="107"/>
      <c r="BC684" s="107">
        <v>1890.24817</v>
      </c>
      <c r="BD684" s="107">
        <v>1853.59065</v>
      </c>
      <c r="BE684" s="107">
        <v>212.48285</v>
      </c>
      <c r="BF684" s="107"/>
      <c r="BG684" s="107"/>
      <c r="BH684" s="107"/>
      <c r="BI684" s="107"/>
      <c r="BJ684" s="107"/>
      <c r="BK684" s="107"/>
      <c r="BL684" s="107"/>
      <c r="BM684" s="107"/>
      <c r="BN684" s="107"/>
      <c r="BO684" s="107"/>
      <c r="BP684" s="107"/>
      <c r="BQ684" s="109"/>
      <c r="BR684" s="109"/>
      <c r="BS684" s="109"/>
      <c r="BT684" s="109"/>
      <c r="BU684" s="138"/>
    </row>
    <row r="685" spans="1:73" ht="32.25" customHeight="1" outlineLevel="2">
      <c r="A685" s="35" t="s">
        <v>605</v>
      </c>
      <c r="B685" s="37" t="s">
        <v>606</v>
      </c>
      <c r="C685" s="20" t="s">
        <v>1496</v>
      </c>
      <c r="D685" s="218" t="s">
        <v>1453</v>
      </c>
      <c r="E685" s="203" t="s">
        <v>2486</v>
      </c>
      <c r="F685" s="108">
        <f t="shared" si="118"/>
        <v>60143.36266</v>
      </c>
      <c r="G685" s="106">
        <f t="shared" si="121"/>
        <v>30418.68723</v>
      </c>
      <c r="H685" s="106">
        <f t="shared" si="122"/>
        <v>29724.675429999996</v>
      </c>
      <c r="I685" s="107">
        <v>7201.16966</v>
      </c>
      <c r="J685" s="107">
        <v>132.14113</v>
      </c>
      <c r="K685" s="107">
        <v>5162.98522</v>
      </c>
      <c r="L685" s="107">
        <v>1452.44377</v>
      </c>
      <c r="M685" s="107">
        <v>362.65272</v>
      </c>
      <c r="N685" s="107"/>
      <c r="O685" s="106"/>
      <c r="P685" s="106"/>
      <c r="Q685" s="106"/>
      <c r="R685" s="106"/>
      <c r="S685" s="106"/>
      <c r="T685" s="106"/>
      <c r="U685" s="106"/>
      <c r="V685" s="106"/>
      <c r="W685" s="106">
        <f>1246.97324+5965.32027</f>
        <v>7212.29351</v>
      </c>
      <c r="X685" s="106">
        <f>651.00734+3114.31484</f>
        <v>3765.32218</v>
      </c>
      <c r="Y685" s="107">
        <v>190</v>
      </c>
      <c r="Z685" s="107">
        <v>727.815</v>
      </c>
      <c r="AA685" s="159">
        <v>1141.06452</v>
      </c>
      <c r="AB685" s="106">
        <v>990.36545</v>
      </c>
      <c r="AC685" s="107">
        <v>2242.17131</v>
      </c>
      <c r="AD685" s="107">
        <v>1170.57039</v>
      </c>
      <c r="AE685" s="107"/>
      <c r="AF685" s="107"/>
      <c r="AG685" s="107">
        <v>136.521</v>
      </c>
      <c r="AH685" s="107"/>
      <c r="AI685" s="107"/>
      <c r="AJ685" s="108">
        <v>1747.5776799999999</v>
      </c>
      <c r="AK685" s="107">
        <f>141.3647+51.881</f>
        <v>193.2457</v>
      </c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7"/>
      <c r="AV685" s="107"/>
      <c r="AW685" s="107"/>
      <c r="AX685" s="107"/>
      <c r="AY685" s="106">
        <v>2598.03738</v>
      </c>
      <c r="AZ685" s="107"/>
      <c r="BA685" s="107"/>
      <c r="BB685" s="107"/>
      <c r="BC685" s="107">
        <v>7269.00301</v>
      </c>
      <c r="BD685" s="107">
        <v>7128.68872</v>
      </c>
      <c r="BE685" s="107">
        <v>912.45005</v>
      </c>
      <c r="BF685" s="107"/>
      <c r="BG685" s="107"/>
      <c r="BH685" s="107"/>
      <c r="BI685" s="107"/>
      <c r="BJ685" s="107">
        <v>7715.42922</v>
      </c>
      <c r="BK685" s="107"/>
      <c r="BL685" s="107"/>
      <c r="BM685" s="107">
        <v>691.41504</v>
      </c>
      <c r="BN685" s="107"/>
      <c r="BO685" s="107"/>
      <c r="BP685" s="107"/>
      <c r="BQ685" s="109"/>
      <c r="BR685" s="109"/>
      <c r="BS685" s="109"/>
      <c r="BT685" s="109"/>
      <c r="BU685" s="138"/>
    </row>
    <row r="686" spans="1:73" ht="36.75" customHeight="1" outlineLevel="2">
      <c r="A686" s="19" t="s">
        <v>605</v>
      </c>
      <c r="B686" s="22" t="s">
        <v>742</v>
      </c>
      <c r="C686" s="20" t="s">
        <v>1496</v>
      </c>
      <c r="D686" s="218" t="s">
        <v>1021</v>
      </c>
      <c r="E686" s="203" t="s">
        <v>2811</v>
      </c>
      <c r="F686" s="108">
        <f t="shared" si="118"/>
        <v>780.44862</v>
      </c>
      <c r="G686" s="106">
        <f t="shared" si="121"/>
        <v>335.02648</v>
      </c>
      <c r="H686" s="106">
        <f t="shared" si="122"/>
        <v>445.42214</v>
      </c>
      <c r="I686" s="107"/>
      <c r="J686" s="107"/>
      <c r="K686" s="107"/>
      <c r="L686" s="107"/>
      <c r="M686" s="107"/>
      <c r="N686" s="107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7">
        <v>30.4</v>
      </c>
      <c r="Z686" s="107">
        <v>79.86</v>
      </c>
      <c r="AA686" s="159">
        <v>109.1453</v>
      </c>
      <c r="AB686" s="106">
        <v>87.15216</v>
      </c>
      <c r="AC686" s="107"/>
      <c r="AD686" s="107"/>
      <c r="AE686" s="107"/>
      <c r="AF686" s="107"/>
      <c r="AG686" s="107"/>
      <c r="AH686" s="107"/>
      <c r="AI686" s="107"/>
      <c r="AJ686" s="108">
        <v>86.71644</v>
      </c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7"/>
      <c r="AV686" s="107"/>
      <c r="AW686" s="107"/>
      <c r="AX686" s="107"/>
      <c r="AY686" s="106"/>
      <c r="AZ686" s="107"/>
      <c r="BA686" s="107"/>
      <c r="BB686" s="107"/>
      <c r="BC686" s="107">
        <v>195.48118</v>
      </c>
      <c r="BD686" s="107">
        <v>191.69354</v>
      </c>
      <c r="BE686" s="107"/>
      <c r="BF686" s="107"/>
      <c r="BG686" s="107"/>
      <c r="BH686" s="107"/>
      <c r="BI686" s="107"/>
      <c r="BJ686" s="107"/>
      <c r="BK686" s="107"/>
      <c r="BL686" s="107"/>
      <c r="BM686" s="107"/>
      <c r="BN686" s="107"/>
      <c r="BO686" s="107"/>
      <c r="BP686" s="107"/>
      <c r="BQ686" s="109"/>
      <c r="BR686" s="109"/>
      <c r="BS686" s="109"/>
      <c r="BT686" s="109"/>
      <c r="BU686" s="138"/>
    </row>
    <row r="687" spans="1:73" ht="39" customHeight="1" outlineLevel="2">
      <c r="A687" s="35" t="s">
        <v>605</v>
      </c>
      <c r="B687" s="37" t="s">
        <v>677</v>
      </c>
      <c r="C687" s="20" t="s">
        <v>1496</v>
      </c>
      <c r="D687" s="218" t="s">
        <v>1249</v>
      </c>
      <c r="E687" s="203" t="s">
        <v>2489</v>
      </c>
      <c r="F687" s="108">
        <f t="shared" si="118"/>
        <v>1028.11017</v>
      </c>
      <c r="G687" s="106">
        <f t="shared" si="121"/>
        <v>526.21242</v>
      </c>
      <c r="H687" s="106">
        <f t="shared" si="122"/>
        <v>501.89775000000003</v>
      </c>
      <c r="I687" s="107"/>
      <c r="J687" s="107"/>
      <c r="K687" s="107"/>
      <c r="L687" s="107"/>
      <c r="M687" s="107"/>
      <c r="N687" s="107"/>
      <c r="O687" s="106"/>
      <c r="P687" s="106"/>
      <c r="Q687" s="106"/>
      <c r="R687" s="106"/>
      <c r="S687" s="106"/>
      <c r="T687" s="106"/>
      <c r="U687" s="106"/>
      <c r="V687" s="106"/>
      <c r="W687" s="106">
        <v>306.91008</v>
      </c>
      <c r="X687" s="106">
        <v>160.22855</v>
      </c>
      <c r="Y687" s="107"/>
      <c r="Z687" s="107"/>
      <c r="AA687" s="159"/>
      <c r="AB687" s="106"/>
      <c r="AC687" s="107"/>
      <c r="AD687" s="107"/>
      <c r="AE687" s="107"/>
      <c r="AF687" s="107"/>
      <c r="AG687" s="107"/>
      <c r="AH687" s="107"/>
      <c r="AI687" s="107"/>
      <c r="AJ687" s="108">
        <v>39.79128</v>
      </c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7"/>
      <c r="AV687" s="107"/>
      <c r="AW687" s="107"/>
      <c r="AX687" s="107"/>
      <c r="AY687" s="106"/>
      <c r="AZ687" s="107"/>
      <c r="BA687" s="107"/>
      <c r="BB687" s="107"/>
      <c r="BC687" s="107">
        <v>219.30234</v>
      </c>
      <c r="BD687" s="107">
        <v>215.05552</v>
      </c>
      <c r="BE687" s="107"/>
      <c r="BF687" s="107"/>
      <c r="BG687" s="107"/>
      <c r="BH687" s="107"/>
      <c r="BI687" s="107"/>
      <c r="BJ687" s="107"/>
      <c r="BK687" s="107"/>
      <c r="BL687" s="107"/>
      <c r="BM687" s="107">
        <v>86.8224</v>
      </c>
      <c r="BN687" s="107"/>
      <c r="BO687" s="107"/>
      <c r="BP687" s="107"/>
      <c r="BQ687" s="109"/>
      <c r="BR687" s="109"/>
      <c r="BS687" s="109"/>
      <c r="BT687" s="109"/>
      <c r="BU687" s="138"/>
    </row>
    <row r="688" spans="1:73" ht="36" customHeight="1" outlineLevel="2">
      <c r="A688" s="35" t="s">
        <v>605</v>
      </c>
      <c r="B688" s="37" t="s">
        <v>678</v>
      </c>
      <c r="C688" s="20" t="s">
        <v>1496</v>
      </c>
      <c r="D688" s="218" t="s">
        <v>1458</v>
      </c>
      <c r="E688" s="220" t="s">
        <v>2492</v>
      </c>
      <c r="F688" s="108">
        <f t="shared" si="118"/>
        <v>5808.29958</v>
      </c>
      <c r="G688" s="106">
        <f t="shared" si="121"/>
        <v>1819.23299</v>
      </c>
      <c r="H688" s="106">
        <f t="shared" si="122"/>
        <v>3989.06659</v>
      </c>
      <c r="I688" s="107"/>
      <c r="J688" s="107"/>
      <c r="K688" s="107">
        <v>703.1348</v>
      </c>
      <c r="L688" s="107">
        <v>270.71188</v>
      </c>
      <c r="M688" s="107"/>
      <c r="N688" s="107"/>
      <c r="O688" s="106"/>
      <c r="P688" s="106"/>
      <c r="Q688" s="106"/>
      <c r="R688" s="106"/>
      <c r="S688" s="106"/>
      <c r="T688" s="106"/>
      <c r="U688" s="106"/>
      <c r="V688" s="106"/>
      <c r="W688" s="106">
        <v>364.60621</v>
      </c>
      <c r="X688" s="106">
        <v>190.34996</v>
      </c>
      <c r="Y688" s="107">
        <v>21.28</v>
      </c>
      <c r="Z688" s="107">
        <v>55.902</v>
      </c>
      <c r="AA688" s="159">
        <v>255.70248</v>
      </c>
      <c r="AB688" s="106">
        <v>189.1598</v>
      </c>
      <c r="AC688" s="107"/>
      <c r="AD688" s="107"/>
      <c r="AE688" s="107"/>
      <c r="AF688" s="107"/>
      <c r="AG688" s="107"/>
      <c r="AH688" s="107"/>
      <c r="AI688" s="107"/>
      <c r="AJ688" s="108">
        <v>157.13396</v>
      </c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7"/>
      <c r="AV688" s="107">
        <v>91.52</v>
      </c>
      <c r="AW688" s="107"/>
      <c r="AX688" s="107"/>
      <c r="AY688" s="106"/>
      <c r="AZ688" s="107"/>
      <c r="BA688" s="107"/>
      <c r="BB688" s="107"/>
      <c r="BC688" s="107">
        <v>474.5095</v>
      </c>
      <c r="BD688" s="107">
        <v>465.32403</v>
      </c>
      <c r="BE688" s="107"/>
      <c r="BF688" s="107"/>
      <c r="BG688" s="107"/>
      <c r="BH688" s="107"/>
      <c r="BI688" s="107"/>
      <c r="BJ688" s="107">
        <v>2568.96496</v>
      </c>
      <c r="BK688" s="107"/>
      <c r="BL688" s="107"/>
      <c r="BM688" s="107"/>
      <c r="BN688" s="107"/>
      <c r="BO688" s="107"/>
      <c r="BP688" s="107"/>
      <c r="BQ688" s="109"/>
      <c r="BR688" s="109"/>
      <c r="BS688" s="109"/>
      <c r="BT688" s="109"/>
      <c r="BU688" s="138"/>
    </row>
    <row r="689" spans="1:73" ht="34.5" customHeight="1" outlineLevel="2">
      <c r="A689" s="35" t="s">
        <v>605</v>
      </c>
      <c r="B689" s="37" t="s">
        <v>690</v>
      </c>
      <c r="C689" s="20" t="s">
        <v>1496</v>
      </c>
      <c r="D689" s="218" t="s">
        <v>1571</v>
      </c>
      <c r="E689" s="203" t="s">
        <v>2493</v>
      </c>
      <c r="F689" s="108">
        <f t="shared" si="118"/>
        <v>368.74554</v>
      </c>
      <c r="G689" s="106">
        <f t="shared" si="121"/>
        <v>175.27044</v>
      </c>
      <c r="H689" s="106">
        <f t="shared" si="122"/>
        <v>193.4751</v>
      </c>
      <c r="I689" s="107"/>
      <c r="J689" s="107"/>
      <c r="K689" s="107"/>
      <c r="L689" s="107"/>
      <c r="M689" s="107"/>
      <c r="N689" s="107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7"/>
      <c r="Z689" s="107"/>
      <c r="AA689" s="159">
        <v>55.82604</v>
      </c>
      <c r="AB689" s="106">
        <v>47.1414</v>
      </c>
      <c r="AC689" s="107"/>
      <c r="AD689" s="107"/>
      <c r="AE689" s="107"/>
      <c r="AF689" s="107"/>
      <c r="AG689" s="107"/>
      <c r="AH689" s="107"/>
      <c r="AI689" s="107"/>
      <c r="AJ689" s="108">
        <v>29.20124</v>
      </c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7"/>
      <c r="AV689" s="107"/>
      <c r="AW689" s="107"/>
      <c r="AX689" s="107"/>
      <c r="AY689" s="106"/>
      <c r="AZ689" s="107"/>
      <c r="BA689" s="107"/>
      <c r="BB689" s="107"/>
      <c r="BC689" s="107">
        <v>119.4444</v>
      </c>
      <c r="BD689" s="107">
        <v>117.13246</v>
      </c>
      <c r="BE689" s="107"/>
      <c r="BF689" s="107"/>
      <c r="BG689" s="107"/>
      <c r="BH689" s="107"/>
      <c r="BI689" s="107"/>
      <c r="BJ689" s="107"/>
      <c r="BK689" s="107"/>
      <c r="BL689" s="107"/>
      <c r="BM689" s="107"/>
      <c r="BN689" s="107"/>
      <c r="BO689" s="107"/>
      <c r="BP689" s="107"/>
      <c r="BQ689" s="109"/>
      <c r="BR689" s="109"/>
      <c r="BS689" s="109"/>
      <c r="BT689" s="109"/>
      <c r="BU689" s="138"/>
    </row>
    <row r="690" spans="1:73" ht="32.25" customHeight="1" outlineLevel="2">
      <c r="A690" s="24" t="s">
        <v>605</v>
      </c>
      <c r="B690" s="19" t="s">
        <v>1247</v>
      </c>
      <c r="C690" s="20" t="s">
        <v>1496</v>
      </c>
      <c r="D690" s="218" t="s">
        <v>1248</v>
      </c>
      <c r="E690" s="203" t="s">
        <v>2490</v>
      </c>
      <c r="F690" s="108">
        <f t="shared" si="118"/>
        <v>2184.50311</v>
      </c>
      <c r="G690" s="106">
        <f t="shared" si="121"/>
        <v>764.92195</v>
      </c>
      <c r="H690" s="106">
        <f t="shared" si="122"/>
        <v>1419.58116</v>
      </c>
      <c r="I690" s="107"/>
      <c r="J690" s="107"/>
      <c r="K690" s="107"/>
      <c r="L690" s="107"/>
      <c r="M690" s="107"/>
      <c r="N690" s="107"/>
      <c r="O690" s="106"/>
      <c r="P690" s="106"/>
      <c r="Q690" s="106"/>
      <c r="R690" s="106"/>
      <c r="S690" s="106"/>
      <c r="T690" s="106"/>
      <c r="U690" s="106"/>
      <c r="V690" s="106"/>
      <c r="W690" s="106">
        <v>345.61047</v>
      </c>
      <c r="X690" s="106">
        <v>180.43287</v>
      </c>
      <c r="Y690" s="107">
        <v>34.96</v>
      </c>
      <c r="Z690" s="107">
        <v>91.839</v>
      </c>
      <c r="AA690" s="159">
        <v>130.07937</v>
      </c>
      <c r="AB690" s="106">
        <v>100.02691</v>
      </c>
      <c r="AC690" s="107"/>
      <c r="AD690" s="107"/>
      <c r="AE690" s="107"/>
      <c r="AF690" s="107"/>
      <c r="AG690" s="107"/>
      <c r="AH690" s="107"/>
      <c r="AI690" s="107"/>
      <c r="AJ690" s="108">
        <v>98.72032</v>
      </c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7"/>
      <c r="AV690" s="107"/>
      <c r="AW690" s="107"/>
      <c r="AX690" s="107"/>
      <c r="AY690" s="106"/>
      <c r="AZ690" s="107"/>
      <c r="BA690" s="107"/>
      <c r="BB690" s="107"/>
      <c r="BC690" s="107">
        <v>254.27211</v>
      </c>
      <c r="BD690" s="107">
        <v>249.35958</v>
      </c>
      <c r="BE690" s="107">
        <v>691</v>
      </c>
      <c r="BF690" s="107"/>
      <c r="BG690" s="107"/>
      <c r="BH690" s="107"/>
      <c r="BI690" s="107"/>
      <c r="BJ690" s="107">
        <v>8.20248</v>
      </c>
      <c r="BK690" s="107"/>
      <c r="BL690" s="107"/>
      <c r="BM690" s="107"/>
      <c r="BN690" s="107"/>
      <c r="BO690" s="107"/>
      <c r="BP690" s="107"/>
      <c r="BQ690" s="109"/>
      <c r="BR690" s="109"/>
      <c r="BS690" s="109"/>
      <c r="BT690" s="109"/>
      <c r="BU690" s="138"/>
    </row>
    <row r="691" spans="1:73" ht="39" customHeight="1" outlineLevel="2">
      <c r="A691" s="35" t="s">
        <v>605</v>
      </c>
      <c r="B691" s="37" t="s">
        <v>57</v>
      </c>
      <c r="C691" s="20" t="s">
        <v>1496</v>
      </c>
      <c r="D691" s="218" t="s">
        <v>58</v>
      </c>
      <c r="E691" s="203" t="s">
        <v>2491</v>
      </c>
      <c r="F691" s="108">
        <f t="shared" si="118"/>
        <v>1728.855</v>
      </c>
      <c r="G691" s="106">
        <f t="shared" si="121"/>
        <v>937.53986</v>
      </c>
      <c r="H691" s="106">
        <f t="shared" si="122"/>
        <v>791.3151399999999</v>
      </c>
      <c r="I691" s="107"/>
      <c r="J691" s="107"/>
      <c r="K691" s="107"/>
      <c r="L691" s="107"/>
      <c r="M691" s="107"/>
      <c r="N691" s="107"/>
      <c r="O691" s="106"/>
      <c r="P691" s="106"/>
      <c r="Q691" s="106"/>
      <c r="R691" s="106"/>
      <c r="S691" s="106"/>
      <c r="T691" s="106"/>
      <c r="U691" s="106"/>
      <c r="V691" s="106"/>
      <c r="W691" s="106">
        <v>210.12384</v>
      </c>
      <c r="X691" s="106">
        <v>109.69936</v>
      </c>
      <c r="Y691" s="107"/>
      <c r="Z691" s="107"/>
      <c r="AA691" s="159">
        <v>173.73055</v>
      </c>
      <c r="AB691" s="106">
        <v>138.65116</v>
      </c>
      <c r="AC691" s="107"/>
      <c r="AD691" s="107"/>
      <c r="AE691" s="107"/>
      <c r="AF691" s="107"/>
      <c r="AG691" s="107"/>
      <c r="AH691" s="107"/>
      <c r="AI691" s="107"/>
      <c r="AJ691" s="108">
        <v>0</v>
      </c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7"/>
      <c r="AV691" s="107"/>
      <c r="AW691" s="107"/>
      <c r="AX691" s="107"/>
      <c r="AY691" s="106"/>
      <c r="AZ691" s="107"/>
      <c r="BA691" s="107"/>
      <c r="BB691" s="107"/>
      <c r="BC691" s="107">
        <v>553.68547</v>
      </c>
      <c r="BD691" s="107">
        <v>542.96462</v>
      </c>
      <c r="BE691" s="107"/>
      <c r="BF691" s="107"/>
      <c r="BG691" s="107"/>
      <c r="BH691" s="107"/>
      <c r="BI691" s="107"/>
      <c r="BJ691" s="107"/>
      <c r="BK691" s="107"/>
      <c r="BL691" s="107"/>
      <c r="BM691" s="107"/>
      <c r="BN691" s="107"/>
      <c r="BO691" s="107"/>
      <c r="BP691" s="107"/>
      <c r="BQ691" s="109"/>
      <c r="BR691" s="109"/>
      <c r="BS691" s="109"/>
      <c r="BT691" s="109"/>
      <c r="BU691" s="138"/>
    </row>
    <row r="692" spans="1:73" ht="41.25" customHeight="1" outlineLevel="2">
      <c r="A692" s="38" t="s">
        <v>605</v>
      </c>
      <c r="B692" s="39" t="s">
        <v>1630</v>
      </c>
      <c r="C692" s="27" t="s">
        <v>1496</v>
      </c>
      <c r="D692" s="219" t="s">
        <v>1405</v>
      </c>
      <c r="E692" s="203" t="s">
        <v>2802</v>
      </c>
      <c r="F692" s="108">
        <f t="shared" si="118"/>
        <v>53.99106</v>
      </c>
      <c r="G692" s="106">
        <f t="shared" si="121"/>
        <v>0</v>
      </c>
      <c r="H692" s="106">
        <f t="shared" si="122"/>
        <v>53.99106</v>
      </c>
      <c r="I692" s="113"/>
      <c r="J692" s="113"/>
      <c r="K692" s="113"/>
      <c r="L692" s="113"/>
      <c r="M692" s="113"/>
      <c r="N692" s="113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3"/>
      <c r="Z692" s="113"/>
      <c r="AA692" s="114"/>
      <c r="AB692" s="114"/>
      <c r="AC692" s="113"/>
      <c r="AD692" s="113"/>
      <c r="AE692" s="113"/>
      <c r="AF692" s="113"/>
      <c r="AG692" s="113"/>
      <c r="AH692" s="113"/>
      <c r="AI692" s="113"/>
      <c r="AJ692" s="108">
        <v>0</v>
      </c>
      <c r="AK692" s="113"/>
      <c r="AL692" s="113"/>
      <c r="AM692" s="113"/>
      <c r="AN692" s="113"/>
      <c r="AO692" s="113"/>
      <c r="AP692" s="113"/>
      <c r="AQ692" s="113"/>
      <c r="AR692" s="113"/>
      <c r="AS692" s="113"/>
      <c r="AT692" s="113"/>
      <c r="AU692" s="113"/>
      <c r="AV692" s="113"/>
      <c r="AW692" s="113"/>
      <c r="AX692" s="113"/>
      <c r="AY692" s="114"/>
      <c r="AZ692" s="113"/>
      <c r="BA692" s="113">
        <v>53.99106</v>
      </c>
      <c r="BB692" s="113"/>
      <c r="BC692" s="113"/>
      <c r="BD692" s="113"/>
      <c r="BE692" s="113"/>
      <c r="BF692" s="113"/>
      <c r="BG692" s="113"/>
      <c r="BH692" s="113"/>
      <c r="BI692" s="113"/>
      <c r="BJ692" s="113"/>
      <c r="BK692" s="113"/>
      <c r="BL692" s="113"/>
      <c r="BM692" s="113"/>
      <c r="BN692" s="113"/>
      <c r="BO692" s="113"/>
      <c r="BP692" s="113"/>
      <c r="BQ692" s="115"/>
      <c r="BR692" s="115"/>
      <c r="BS692" s="115"/>
      <c r="BT692" s="115"/>
      <c r="BU692" s="139"/>
    </row>
    <row r="693" spans="1:73" ht="39" customHeight="1" outlineLevel="2">
      <c r="A693" s="35" t="s">
        <v>605</v>
      </c>
      <c r="B693" s="37" t="s">
        <v>692</v>
      </c>
      <c r="C693" s="20" t="s">
        <v>587</v>
      </c>
      <c r="D693" s="218" t="s">
        <v>1570</v>
      </c>
      <c r="E693" s="220" t="s">
        <v>2494</v>
      </c>
      <c r="F693" s="108">
        <f t="shared" si="118"/>
        <v>32.81754</v>
      </c>
      <c r="G693" s="106">
        <f t="shared" si="121"/>
        <v>16.56905</v>
      </c>
      <c r="H693" s="106">
        <f t="shared" si="122"/>
        <v>16.24849</v>
      </c>
      <c r="I693" s="107"/>
      <c r="J693" s="107"/>
      <c r="K693" s="107"/>
      <c r="L693" s="107"/>
      <c r="M693" s="107"/>
      <c r="N693" s="107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7"/>
      <c r="Z693" s="107"/>
      <c r="AA693" s="159"/>
      <c r="AB693" s="106"/>
      <c r="AC693" s="107"/>
      <c r="AD693" s="107"/>
      <c r="AE693" s="107"/>
      <c r="AF693" s="107"/>
      <c r="AG693" s="107"/>
      <c r="AH693" s="107"/>
      <c r="AI693" s="107"/>
      <c r="AJ693" s="108">
        <v>0</v>
      </c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7"/>
      <c r="AV693" s="107"/>
      <c r="AW693" s="107"/>
      <c r="AX693" s="107"/>
      <c r="AY693" s="106"/>
      <c r="AZ693" s="107"/>
      <c r="BA693" s="107"/>
      <c r="BB693" s="107"/>
      <c r="BC693" s="107">
        <v>16.56905</v>
      </c>
      <c r="BD693" s="107">
        <v>16.24849</v>
      </c>
      <c r="BE693" s="107"/>
      <c r="BF693" s="107"/>
      <c r="BG693" s="107"/>
      <c r="BH693" s="107"/>
      <c r="BI693" s="107"/>
      <c r="BJ693" s="107"/>
      <c r="BK693" s="107"/>
      <c r="BL693" s="107"/>
      <c r="BM693" s="107"/>
      <c r="BN693" s="107"/>
      <c r="BO693" s="107"/>
      <c r="BP693" s="107"/>
      <c r="BQ693" s="109"/>
      <c r="BR693" s="109"/>
      <c r="BS693" s="109"/>
      <c r="BT693" s="109"/>
      <c r="BU693" s="138"/>
    </row>
    <row r="694" spans="1:73" ht="39" customHeight="1" outlineLevel="2">
      <c r="A694" s="35" t="s">
        <v>605</v>
      </c>
      <c r="B694" s="37" t="s">
        <v>1171</v>
      </c>
      <c r="C694" s="20" t="s">
        <v>587</v>
      </c>
      <c r="D694" s="218" t="s">
        <v>751</v>
      </c>
      <c r="E694" s="220" t="s">
        <v>2495</v>
      </c>
      <c r="F694" s="108">
        <f t="shared" si="118"/>
        <v>68.98683</v>
      </c>
      <c r="G694" s="106">
        <f t="shared" si="121"/>
        <v>34.510000000000005</v>
      </c>
      <c r="H694" s="106">
        <f t="shared" si="122"/>
        <v>34.47683</v>
      </c>
      <c r="I694" s="107"/>
      <c r="J694" s="107"/>
      <c r="K694" s="107"/>
      <c r="L694" s="107"/>
      <c r="M694" s="107"/>
      <c r="N694" s="107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7"/>
      <c r="Z694" s="107"/>
      <c r="AA694" s="159">
        <v>14.70485</v>
      </c>
      <c r="AB694" s="106">
        <v>15.05355</v>
      </c>
      <c r="AC694" s="107"/>
      <c r="AD694" s="107"/>
      <c r="AE694" s="107"/>
      <c r="AF694" s="107"/>
      <c r="AG694" s="107"/>
      <c r="AH694" s="107"/>
      <c r="AI694" s="107"/>
      <c r="AJ694" s="108">
        <v>0</v>
      </c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7"/>
      <c r="AV694" s="107"/>
      <c r="AW694" s="107"/>
      <c r="AX694" s="107"/>
      <c r="AY694" s="106"/>
      <c r="AZ694" s="107"/>
      <c r="BA694" s="107"/>
      <c r="BB694" s="107"/>
      <c r="BC694" s="107">
        <v>19.80515</v>
      </c>
      <c r="BD694" s="107">
        <v>19.42328</v>
      </c>
      <c r="BE694" s="107"/>
      <c r="BF694" s="107"/>
      <c r="BG694" s="107"/>
      <c r="BH694" s="107"/>
      <c r="BI694" s="107"/>
      <c r="BJ694" s="107"/>
      <c r="BK694" s="107"/>
      <c r="BL694" s="107"/>
      <c r="BM694" s="107"/>
      <c r="BN694" s="107"/>
      <c r="BO694" s="107"/>
      <c r="BP694" s="107"/>
      <c r="BQ694" s="109"/>
      <c r="BR694" s="109"/>
      <c r="BS694" s="109"/>
      <c r="BT694" s="109"/>
      <c r="BU694" s="138"/>
    </row>
    <row r="695" spans="1:73" ht="39" customHeight="1" outlineLevel="2">
      <c r="A695" s="35" t="s">
        <v>605</v>
      </c>
      <c r="B695" s="37" t="s">
        <v>1169</v>
      </c>
      <c r="C695" s="20" t="s">
        <v>587</v>
      </c>
      <c r="D695" s="218" t="s">
        <v>1301</v>
      </c>
      <c r="E695" s="220" t="s">
        <v>2496</v>
      </c>
      <c r="F695" s="108">
        <f t="shared" si="118"/>
        <v>1161.8294799999999</v>
      </c>
      <c r="G695" s="106">
        <f t="shared" si="121"/>
        <v>227.85755999999998</v>
      </c>
      <c r="H695" s="106">
        <f t="shared" si="122"/>
        <v>933.97192</v>
      </c>
      <c r="I695" s="107"/>
      <c r="J695" s="107"/>
      <c r="K695" s="107"/>
      <c r="L695" s="107"/>
      <c r="M695" s="107">
        <v>159.8304</v>
      </c>
      <c r="N695" s="107"/>
      <c r="O695" s="106">
        <v>20.92303</v>
      </c>
      <c r="P695" s="106">
        <v>0.96186</v>
      </c>
      <c r="Q695" s="106"/>
      <c r="R695" s="106"/>
      <c r="S695" s="106"/>
      <c r="T695" s="106"/>
      <c r="U695" s="106"/>
      <c r="V695" s="106"/>
      <c r="W695" s="106">
        <v>89.58057</v>
      </c>
      <c r="X695" s="106">
        <v>46.76733</v>
      </c>
      <c r="Y695" s="107"/>
      <c r="Z695" s="107"/>
      <c r="AA695" s="159">
        <v>31.48192</v>
      </c>
      <c r="AB695" s="106">
        <v>31.09748</v>
      </c>
      <c r="AC695" s="107"/>
      <c r="AD695" s="107"/>
      <c r="AE695" s="107"/>
      <c r="AF695" s="107"/>
      <c r="AG695" s="107"/>
      <c r="AH695" s="107"/>
      <c r="AI695" s="107"/>
      <c r="AJ695" s="108">
        <v>25.26168</v>
      </c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7"/>
      <c r="AV695" s="107"/>
      <c r="AW695" s="107"/>
      <c r="AX695" s="107"/>
      <c r="AY695" s="106"/>
      <c r="AZ695" s="107"/>
      <c r="BA695" s="107"/>
      <c r="BB695" s="107"/>
      <c r="BC695" s="107">
        <v>85.87204</v>
      </c>
      <c r="BD695" s="107">
        <v>84.21062</v>
      </c>
      <c r="BE695" s="107"/>
      <c r="BF695" s="107"/>
      <c r="BG695" s="107"/>
      <c r="BH695" s="107"/>
      <c r="BI695" s="107"/>
      <c r="BJ695" s="107">
        <v>314.52255</v>
      </c>
      <c r="BK695" s="107"/>
      <c r="BL695" s="107"/>
      <c r="BM695" s="107">
        <v>271.32</v>
      </c>
      <c r="BN695" s="107"/>
      <c r="BO695" s="107"/>
      <c r="BP695" s="107"/>
      <c r="BQ695" s="109"/>
      <c r="BR695" s="109"/>
      <c r="BS695" s="109"/>
      <c r="BT695" s="109"/>
      <c r="BU695" s="138"/>
    </row>
    <row r="696" spans="1:73" ht="39" customHeight="1" outlineLevel="2">
      <c r="A696" s="35" t="s">
        <v>605</v>
      </c>
      <c r="B696" s="37" t="s">
        <v>1170</v>
      </c>
      <c r="C696" s="20" t="s">
        <v>587</v>
      </c>
      <c r="D696" s="218" t="s">
        <v>1302</v>
      </c>
      <c r="E696" s="220" t="s">
        <v>2497</v>
      </c>
      <c r="F696" s="108">
        <f t="shared" si="118"/>
        <v>309.38905</v>
      </c>
      <c r="G696" s="106">
        <f t="shared" si="121"/>
        <v>156.20114</v>
      </c>
      <c r="H696" s="106">
        <f t="shared" si="122"/>
        <v>153.18791</v>
      </c>
      <c r="I696" s="107"/>
      <c r="J696" s="107"/>
      <c r="K696" s="107"/>
      <c r="L696" s="107"/>
      <c r="M696" s="107"/>
      <c r="N696" s="107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7"/>
      <c r="Z696" s="107"/>
      <c r="AA696" s="159"/>
      <c r="AB696" s="106"/>
      <c r="AC696" s="107"/>
      <c r="AD696" s="107"/>
      <c r="AE696" s="107"/>
      <c r="AF696" s="107"/>
      <c r="AG696" s="107"/>
      <c r="AH696" s="107"/>
      <c r="AI696" s="107"/>
      <c r="AJ696" s="108">
        <v>0</v>
      </c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7"/>
      <c r="AV696" s="107"/>
      <c r="AW696" s="107"/>
      <c r="AX696" s="107"/>
      <c r="AY696" s="106"/>
      <c r="AZ696" s="107"/>
      <c r="BA696" s="107"/>
      <c r="BB696" s="107"/>
      <c r="BC696" s="107">
        <v>156.20114</v>
      </c>
      <c r="BD696" s="107">
        <v>153.18791</v>
      </c>
      <c r="BE696" s="107"/>
      <c r="BF696" s="107"/>
      <c r="BG696" s="107"/>
      <c r="BH696" s="107"/>
      <c r="BI696" s="107"/>
      <c r="BJ696" s="107"/>
      <c r="BK696" s="107"/>
      <c r="BL696" s="107"/>
      <c r="BM696" s="107"/>
      <c r="BN696" s="107"/>
      <c r="BO696" s="107"/>
      <c r="BP696" s="107"/>
      <c r="BQ696" s="109"/>
      <c r="BR696" s="109"/>
      <c r="BS696" s="109"/>
      <c r="BT696" s="109"/>
      <c r="BU696" s="138"/>
    </row>
    <row r="697" spans="1:73" ht="39" customHeight="1" outlineLevel="2">
      <c r="A697" s="35" t="s">
        <v>605</v>
      </c>
      <c r="B697" s="37" t="s">
        <v>1280</v>
      </c>
      <c r="C697" s="20" t="s">
        <v>587</v>
      </c>
      <c r="D697" s="218" t="s">
        <v>1029</v>
      </c>
      <c r="E697" s="220" t="s">
        <v>2498</v>
      </c>
      <c r="F697" s="108">
        <f t="shared" si="118"/>
        <v>1181.81124</v>
      </c>
      <c r="G697" s="106">
        <f t="shared" si="121"/>
        <v>502.49398</v>
      </c>
      <c r="H697" s="106">
        <f t="shared" si="122"/>
        <v>679.31726</v>
      </c>
      <c r="I697" s="107"/>
      <c r="J697" s="107"/>
      <c r="K697" s="107">
        <v>294.89284</v>
      </c>
      <c r="L697" s="107">
        <v>35.60985</v>
      </c>
      <c r="M697" s="107"/>
      <c r="N697" s="107"/>
      <c r="O697" s="106"/>
      <c r="P697" s="106"/>
      <c r="Q697" s="106"/>
      <c r="R697" s="106"/>
      <c r="S697" s="106"/>
      <c r="T697" s="106"/>
      <c r="U697" s="106"/>
      <c r="V697" s="106"/>
      <c r="W697" s="106">
        <v>99.95496</v>
      </c>
      <c r="X697" s="106">
        <v>52.18348</v>
      </c>
      <c r="Y697" s="107"/>
      <c r="Z697" s="107"/>
      <c r="AA697" s="159">
        <v>22.29541</v>
      </c>
      <c r="AB697" s="106">
        <v>21.19382</v>
      </c>
      <c r="AC697" s="107"/>
      <c r="AD697" s="107"/>
      <c r="AE697" s="107"/>
      <c r="AF697" s="107"/>
      <c r="AG697" s="107"/>
      <c r="AH697" s="107"/>
      <c r="AI697" s="107"/>
      <c r="AJ697" s="108">
        <v>12.90528</v>
      </c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7"/>
      <c r="AV697" s="107"/>
      <c r="AW697" s="107"/>
      <c r="AX697" s="107"/>
      <c r="AY697" s="106"/>
      <c r="AZ697" s="107"/>
      <c r="BA697" s="107"/>
      <c r="BB697" s="107"/>
      <c r="BC697" s="107">
        <v>85.35077</v>
      </c>
      <c r="BD697" s="107">
        <v>83.70042</v>
      </c>
      <c r="BE697" s="107">
        <v>473.72441</v>
      </c>
      <c r="BF697" s="107"/>
      <c r="BG697" s="107"/>
      <c r="BH697" s="107"/>
      <c r="BI697" s="107"/>
      <c r="BJ697" s="107"/>
      <c r="BK697" s="107"/>
      <c r="BL697" s="107"/>
      <c r="BM697" s="107"/>
      <c r="BN697" s="107"/>
      <c r="BO697" s="107"/>
      <c r="BP697" s="107"/>
      <c r="BQ697" s="109"/>
      <c r="BR697" s="109"/>
      <c r="BS697" s="109"/>
      <c r="BT697" s="109"/>
      <c r="BU697" s="138"/>
    </row>
    <row r="698" spans="1:73" ht="39" customHeight="1" outlineLevel="2">
      <c r="A698" s="24" t="s">
        <v>605</v>
      </c>
      <c r="B698" s="19" t="s">
        <v>1281</v>
      </c>
      <c r="C698" s="20" t="s">
        <v>587</v>
      </c>
      <c r="D698" s="218" t="s">
        <v>1246</v>
      </c>
      <c r="E698" s="220" t="s">
        <v>2499</v>
      </c>
      <c r="F698" s="108">
        <f t="shared" si="118"/>
        <v>6590.88985</v>
      </c>
      <c r="G698" s="106">
        <f t="shared" si="121"/>
        <v>2382.61018</v>
      </c>
      <c r="H698" s="106">
        <f t="shared" si="122"/>
        <v>4208.27967</v>
      </c>
      <c r="I698" s="107"/>
      <c r="J698" s="107"/>
      <c r="K698" s="107">
        <v>483.02558</v>
      </c>
      <c r="L698" s="107">
        <v>241.51281</v>
      </c>
      <c r="M698" s="107"/>
      <c r="N698" s="107"/>
      <c r="O698" s="106">
        <v>579.79674</v>
      </c>
      <c r="P698" s="106">
        <v>24.99213</v>
      </c>
      <c r="Q698" s="106"/>
      <c r="R698" s="106"/>
      <c r="S698" s="106"/>
      <c r="T698" s="106"/>
      <c r="U698" s="106"/>
      <c r="V698" s="106"/>
      <c r="W698" s="106">
        <v>618.87491</v>
      </c>
      <c r="X698" s="106">
        <v>323.09603</v>
      </c>
      <c r="Y698" s="107"/>
      <c r="Z698" s="107"/>
      <c r="AA698" s="159">
        <v>182.76559</v>
      </c>
      <c r="AB698" s="106">
        <v>158.45847</v>
      </c>
      <c r="AC698" s="107"/>
      <c r="AD698" s="107"/>
      <c r="AE698" s="107"/>
      <c r="AF698" s="107"/>
      <c r="AG698" s="107"/>
      <c r="AH698" s="107"/>
      <c r="AI698" s="107"/>
      <c r="AJ698" s="108">
        <v>0</v>
      </c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7"/>
      <c r="AV698" s="107"/>
      <c r="AW698" s="107"/>
      <c r="AX698" s="107"/>
      <c r="AY698" s="106"/>
      <c r="AZ698" s="107"/>
      <c r="BA698" s="107"/>
      <c r="BB698" s="107"/>
      <c r="BC698" s="107">
        <v>518.14736</v>
      </c>
      <c r="BD698" s="107">
        <v>508.12777</v>
      </c>
      <c r="BE698" s="107"/>
      <c r="BF698" s="107"/>
      <c r="BG698" s="107"/>
      <c r="BH698" s="107"/>
      <c r="BI698" s="107"/>
      <c r="BJ698" s="107">
        <v>2952.09246</v>
      </c>
      <c r="BK698" s="107"/>
      <c r="BL698" s="107"/>
      <c r="BM698" s="107"/>
      <c r="BN698" s="107"/>
      <c r="BO698" s="107"/>
      <c r="BP698" s="107"/>
      <c r="BQ698" s="109"/>
      <c r="BR698" s="109"/>
      <c r="BS698" s="109"/>
      <c r="BT698" s="109"/>
      <c r="BU698" s="138"/>
    </row>
    <row r="699" spans="1:73" ht="39" customHeight="1" outlineLevel="2">
      <c r="A699" s="24" t="s">
        <v>605</v>
      </c>
      <c r="B699" s="19" t="s">
        <v>691</v>
      </c>
      <c r="C699" s="20" t="s">
        <v>587</v>
      </c>
      <c r="D699" s="218" t="s">
        <v>1569</v>
      </c>
      <c r="E699" s="220" t="s">
        <v>2500</v>
      </c>
      <c r="F699" s="108">
        <f t="shared" si="118"/>
        <v>63.87059</v>
      </c>
      <c r="G699" s="106">
        <f t="shared" si="121"/>
        <v>31.71797</v>
      </c>
      <c r="H699" s="106">
        <f t="shared" si="122"/>
        <v>32.15262</v>
      </c>
      <c r="I699" s="107"/>
      <c r="J699" s="107"/>
      <c r="K699" s="107"/>
      <c r="L699" s="107"/>
      <c r="M699" s="107"/>
      <c r="N699" s="107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7"/>
      <c r="Z699" s="107"/>
      <c r="AA699" s="159">
        <v>19.93668</v>
      </c>
      <c r="AB699" s="106">
        <v>20.5996</v>
      </c>
      <c r="AC699" s="107"/>
      <c r="AD699" s="107"/>
      <c r="AE699" s="107"/>
      <c r="AF699" s="107"/>
      <c r="AG699" s="107"/>
      <c r="AH699" s="107"/>
      <c r="AI699" s="107"/>
      <c r="AJ699" s="108">
        <v>0</v>
      </c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7"/>
      <c r="AV699" s="107"/>
      <c r="AW699" s="107"/>
      <c r="AX699" s="107"/>
      <c r="AY699" s="106"/>
      <c r="AZ699" s="107"/>
      <c r="BA699" s="107"/>
      <c r="BB699" s="107"/>
      <c r="BC699" s="107">
        <v>11.78129</v>
      </c>
      <c r="BD699" s="107">
        <v>11.55302</v>
      </c>
      <c r="BE699" s="107"/>
      <c r="BF699" s="107"/>
      <c r="BG699" s="107"/>
      <c r="BH699" s="107"/>
      <c r="BI699" s="107"/>
      <c r="BJ699" s="107"/>
      <c r="BK699" s="107"/>
      <c r="BL699" s="107"/>
      <c r="BM699" s="107"/>
      <c r="BN699" s="107"/>
      <c r="BO699" s="107"/>
      <c r="BP699" s="107"/>
      <c r="BQ699" s="109"/>
      <c r="BR699" s="109"/>
      <c r="BS699" s="109"/>
      <c r="BT699" s="109"/>
      <c r="BU699" s="138"/>
    </row>
    <row r="700" spans="1:73" ht="39" customHeight="1" outlineLevel="2">
      <c r="A700" s="35" t="s">
        <v>605</v>
      </c>
      <c r="B700" s="37" t="s">
        <v>1282</v>
      </c>
      <c r="C700" s="20" t="s">
        <v>587</v>
      </c>
      <c r="D700" s="218" t="s">
        <v>1298</v>
      </c>
      <c r="E700" s="220" t="s">
        <v>2501</v>
      </c>
      <c r="F700" s="108">
        <f t="shared" si="118"/>
        <v>562.85971</v>
      </c>
      <c r="G700" s="106">
        <f t="shared" si="121"/>
        <v>413.08153</v>
      </c>
      <c r="H700" s="106">
        <f t="shared" si="122"/>
        <v>149.77818</v>
      </c>
      <c r="I700" s="107"/>
      <c r="J700" s="107"/>
      <c r="K700" s="107">
        <v>102.56488</v>
      </c>
      <c r="L700" s="107">
        <v>12.64965</v>
      </c>
      <c r="M700" s="107"/>
      <c r="N700" s="107"/>
      <c r="O700" s="106">
        <v>144.55445</v>
      </c>
      <c r="P700" s="106">
        <v>6.43494</v>
      </c>
      <c r="Q700" s="106"/>
      <c r="R700" s="106"/>
      <c r="S700" s="106"/>
      <c r="T700" s="106"/>
      <c r="U700" s="106"/>
      <c r="V700" s="106"/>
      <c r="W700" s="106">
        <v>67.3322</v>
      </c>
      <c r="X700" s="106">
        <v>35.15212</v>
      </c>
      <c r="Y700" s="107"/>
      <c r="Z700" s="107"/>
      <c r="AA700" s="159">
        <v>16.35766</v>
      </c>
      <c r="AB700" s="106">
        <v>14.85548</v>
      </c>
      <c r="AC700" s="165"/>
      <c r="AD700" s="107"/>
      <c r="AE700" s="107"/>
      <c r="AF700" s="107"/>
      <c r="AG700" s="107"/>
      <c r="AH700" s="107"/>
      <c r="AI700" s="107"/>
      <c r="AJ700" s="108">
        <v>0</v>
      </c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7"/>
      <c r="AV700" s="107"/>
      <c r="AW700" s="107"/>
      <c r="AX700" s="107"/>
      <c r="AY700" s="106"/>
      <c r="AZ700" s="107"/>
      <c r="BA700" s="107"/>
      <c r="BB700" s="107"/>
      <c r="BC700" s="107">
        <v>82.27234</v>
      </c>
      <c r="BD700" s="107">
        <v>80.68599</v>
      </c>
      <c r="BE700" s="107"/>
      <c r="BF700" s="107"/>
      <c r="BG700" s="107"/>
      <c r="BH700" s="107"/>
      <c r="BI700" s="107"/>
      <c r="BJ700" s="107"/>
      <c r="BK700" s="107"/>
      <c r="BL700" s="107"/>
      <c r="BM700" s="107"/>
      <c r="BN700" s="107"/>
      <c r="BO700" s="107"/>
      <c r="BP700" s="107"/>
      <c r="BQ700" s="109"/>
      <c r="BR700" s="109"/>
      <c r="BS700" s="109"/>
      <c r="BT700" s="109"/>
      <c r="BU700" s="138"/>
    </row>
    <row r="701" spans="1:73" ht="39" customHeight="1" outlineLevel="2">
      <c r="A701" s="35" t="s">
        <v>605</v>
      </c>
      <c r="B701" s="37" t="s">
        <v>1283</v>
      </c>
      <c r="C701" s="20" t="s">
        <v>587</v>
      </c>
      <c r="D701" s="218" t="s">
        <v>972</v>
      </c>
      <c r="E701" s="220" t="s">
        <v>2502</v>
      </c>
      <c r="F701" s="108">
        <f t="shared" si="118"/>
        <v>159.29011</v>
      </c>
      <c r="G701" s="106">
        <f t="shared" si="121"/>
        <v>100.09528</v>
      </c>
      <c r="H701" s="106">
        <f t="shared" si="122"/>
        <v>59.19483</v>
      </c>
      <c r="I701" s="107"/>
      <c r="J701" s="107"/>
      <c r="K701" s="107"/>
      <c r="L701" s="107"/>
      <c r="M701" s="107"/>
      <c r="N701" s="107"/>
      <c r="O701" s="106">
        <v>41.33224</v>
      </c>
      <c r="P701" s="106">
        <v>1.86895</v>
      </c>
      <c r="Q701" s="106"/>
      <c r="R701" s="106"/>
      <c r="S701" s="106"/>
      <c r="T701" s="106"/>
      <c r="U701" s="106"/>
      <c r="V701" s="106"/>
      <c r="W701" s="106"/>
      <c r="X701" s="106"/>
      <c r="Y701" s="107"/>
      <c r="Z701" s="107"/>
      <c r="AA701" s="159">
        <v>12.42566</v>
      </c>
      <c r="AB701" s="106">
        <v>11.88439</v>
      </c>
      <c r="AC701" s="107"/>
      <c r="AD701" s="107"/>
      <c r="AE701" s="107"/>
      <c r="AF701" s="107"/>
      <c r="AG701" s="107"/>
      <c r="AH701" s="107"/>
      <c r="AI701" s="107"/>
      <c r="AJ701" s="108">
        <v>0</v>
      </c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7"/>
      <c r="AV701" s="107"/>
      <c r="AW701" s="107"/>
      <c r="AX701" s="107"/>
      <c r="AY701" s="106"/>
      <c r="AZ701" s="107"/>
      <c r="BA701" s="107"/>
      <c r="BB701" s="107"/>
      <c r="BC701" s="107">
        <v>46.33738</v>
      </c>
      <c r="BD701" s="107">
        <v>45.44149</v>
      </c>
      <c r="BE701" s="107"/>
      <c r="BF701" s="107"/>
      <c r="BG701" s="107"/>
      <c r="BH701" s="107"/>
      <c r="BI701" s="107"/>
      <c r="BJ701" s="107"/>
      <c r="BK701" s="107"/>
      <c r="BL701" s="107"/>
      <c r="BM701" s="107"/>
      <c r="BN701" s="107"/>
      <c r="BO701" s="107"/>
      <c r="BP701" s="107"/>
      <c r="BQ701" s="109"/>
      <c r="BR701" s="109"/>
      <c r="BS701" s="109"/>
      <c r="BT701" s="109"/>
      <c r="BU701" s="138"/>
    </row>
    <row r="702" spans="1:73" ht="39" customHeight="1" outlineLevel="2">
      <c r="A702" s="24" t="s">
        <v>605</v>
      </c>
      <c r="B702" s="19" t="s">
        <v>892</v>
      </c>
      <c r="C702" s="20" t="s">
        <v>587</v>
      </c>
      <c r="D702" s="218" t="s">
        <v>189</v>
      </c>
      <c r="E702" s="220" t="s">
        <v>2503</v>
      </c>
      <c r="F702" s="108">
        <f t="shared" si="118"/>
        <v>1740.6037300000003</v>
      </c>
      <c r="G702" s="106">
        <f t="shared" si="121"/>
        <v>307.27506</v>
      </c>
      <c r="H702" s="106">
        <f t="shared" si="122"/>
        <v>1433.3286700000003</v>
      </c>
      <c r="I702" s="107"/>
      <c r="J702" s="107"/>
      <c r="K702" s="107">
        <v>134.85874</v>
      </c>
      <c r="L702" s="107">
        <v>67.42935</v>
      </c>
      <c r="M702" s="107"/>
      <c r="N702" s="107"/>
      <c r="O702" s="106">
        <v>21.07877</v>
      </c>
      <c r="P702" s="106">
        <v>0.94044</v>
      </c>
      <c r="Q702" s="106"/>
      <c r="R702" s="106"/>
      <c r="S702" s="106"/>
      <c r="T702" s="106"/>
      <c r="U702" s="106"/>
      <c r="V702" s="106"/>
      <c r="W702" s="106">
        <v>62.51773</v>
      </c>
      <c r="X702" s="106">
        <v>32.63864</v>
      </c>
      <c r="Y702" s="107"/>
      <c r="Z702" s="107"/>
      <c r="AA702" s="159">
        <v>33.12413</v>
      </c>
      <c r="AB702" s="106">
        <v>23.76877</v>
      </c>
      <c r="AC702" s="107"/>
      <c r="AD702" s="107"/>
      <c r="AE702" s="107"/>
      <c r="AF702" s="107"/>
      <c r="AG702" s="107"/>
      <c r="AH702" s="107"/>
      <c r="AI702" s="107"/>
      <c r="AJ702" s="108">
        <v>17.02036</v>
      </c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7"/>
      <c r="AV702" s="107"/>
      <c r="AW702" s="107"/>
      <c r="AX702" s="107"/>
      <c r="AY702" s="106"/>
      <c r="AZ702" s="107"/>
      <c r="BA702" s="107"/>
      <c r="BB702" s="107"/>
      <c r="BC702" s="107">
        <v>55.69569</v>
      </c>
      <c r="BD702" s="107">
        <v>54.61873</v>
      </c>
      <c r="BE702" s="107"/>
      <c r="BF702" s="107"/>
      <c r="BG702" s="107"/>
      <c r="BH702" s="107"/>
      <c r="BI702" s="107"/>
      <c r="BJ702" s="107">
        <v>1056.03238</v>
      </c>
      <c r="BK702" s="107"/>
      <c r="BL702" s="107"/>
      <c r="BM702" s="107">
        <v>180.88</v>
      </c>
      <c r="BN702" s="107"/>
      <c r="BO702" s="107"/>
      <c r="BP702" s="107"/>
      <c r="BQ702" s="109"/>
      <c r="BR702" s="109"/>
      <c r="BS702" s="109"/>
      <c r="BT702" s="109"/>
      <c r="BU702" s="138"/>
    </row>
    <row r="703" spans="1:73" ht="36.75" customHeight="1" outlineLevel="2">
      <c r="A703" s="24" t="s">
        <v>605</v>
      </c>
      <c r="B703" s="19" t="s">
        <v>583</v>
      </c>
      <c r="C703" s="20" t="s">
        <v>587</v>
      </c>
      <c r="D703" s="218" t="s">
        <v>585</v>
      </c>
      <c r="E703" s="220" t="s">
        <v>2504</v>
      </c>
      <c r="F703" s="108">
        <f t="shared" si="118"/>
        <v>53.20904</v>
      </c>
      <c r="G703" s="106">
        <f t="shared" si="121"/>
        <v>41.20353</v>
      </c>
      <c r="H703" s="106">
        <f t="shared" si="122"/>
        <v>12.00551</v>
      </c>
      <c r="I703" s="107"/>
      <c r="J703" s="107"/>
      <c r="K703" s="107"/>
      <c r="L703" s="107"/>
      <c r="M703" s="107"/>
      <c r="N703" s="107"/>
      <c r="O703" s="106">
        <v>41.20353</v>
      </c>
      <c r="P703" s="106">
        <v>1.99751</v>
      </c>
      <c r="Q703" s="106"/>
      <c r="R703" s="106"/>
      <c r="S703" s="106"/>
      <c r="T703" s="106"/>
      <c r="U703" s="106"/>
      <c r="V703" s="106"/>
      <c r="W703" s="106"/>
      <c r="X703" s="106"/>
      <c r="Y703" s="107"/>
      <c r="Z703" s="107"/>
      <c r="AA703" s="106"/>
      <c r="AB703" s="106"/>
      <c r="AC703" s="107"/>
      <c r="AD703" s="107"/>
      <c r="AE703" s="107"/>
      <c r="AF703" s="107"/>
      <c r="AG703" s="107"/>
      <c r="AH703" s="107"/>
      <c r="AI703" s="107"/>
      <c r="AJ703" s="108">
        <v>0</v>
      </c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7"/>
      <c r="AV703" s="107"/>
      <c r="AW703" s="107"/>
      <c r="AX703" s="107"/>
      <c r="AY703" s="106"/>
      <c r="AZ703" s="107">
        <v>10.008</v>
      </c>
      <c r="BA703" s="107"/>
      <c r="BB703" s="107"/>
      <c r="BC703" s="107"/>
      <c r="BD703" s="107"/>
      <c r="BE703" s="107"/>
      <c r="BF703" s="107"/>
      <c r="BG703" s="107"/>
      <c r="BH703" s="107"/>
      <c r="BI703" s="107"/>
      <c r="BJ703" s="107"/>
      <c r="BK703" s="107"/>
      <c r="BL703" s="107"/>
      <c r="BM703" s="107"/>
      <c r="BN703" s="107"/>
      <c r="BO703" s="107"/>
      <c r="BP703" s="107"/>
      <c r="BQ703" s="109"/>
      <c r="BR703" s="109"/>
      <c r="BS703" s="109"/>
      <c r="BT703" s="109"/>
      <c r="BU703" s="138"/>
    </row>
    <row r="704" spans="1:73" ht="38.25" customHeight="1" outlineLevel="2">
      <c r="A704" s="35" t="s">
        <v>605</v>
      </c>
      <c r="B704" s="37" t="s">
        <v>1284</v>
      </c>
      <c r="C704" s="20" t="s">
        <v>587</v>
      </c>
      <c r="D704" s="218" t="s">
        <v>654</v>
      </c>
      <c r="E704" s="220" t="s">
        <v>2505</v>
      </c>
      <c r="F704" s="108">
        <f t="shared" si="118"/>
        <v>2634.4931</v>
      </c>
      <c r="G704" s="106">
        <f t="shared" si="121"/>
        <v>208.11906</v>
      </c>
      <c r="H704" s="106">
        <f t="shared" si="122"/>
        <v>2426.37404</v>
      </c>
      <c r="I704" s="107"/>
      <c r="J704" s="107"/>
      <c r="K704" s="107"/>
      <c r="L704" s="107"/>
      <c r="M704" s="107"/>
      <c r="N704" s="107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7"/>
      <c r="Z704" s="107"/>
      <c r="AA704" s="159">
        <v>34.77369</v>
      </c>
      <c r="AB704" s="106">
        <v>32.68206</v>
      </c>
      <c r="AC704" s="107"/>
      <c r="AD704" s="107"/>
      <c r="AE704" s="107"/>
      <c r="AF704" s="107"/>
      <c r="AG704" s="107"/>
      <c r="AH704" s="107"/>
      <c r="AI704" s="107"/>
      <c r="AJ704" s="108">
        <v>0</v>
      </c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7"/>
      <c r="AV704" s="107"/>
      <c r="AW704" s="107"/>
      <c r="AX704" s="107"/>
      <c r="AY704" s="106"/>
      <c r="AZ704" s="107"/>
      <c r="BA704" s="107"/>
      <c r="BB704" s="107"/>
      <c r="BC704" s="107">
        <v>173.34537</v>
      </c>
      <c r="BD704" s="107">
        <v>169.99852</v>
      </c>
      <c r="BE704" s="107"/>
      <c r="BF704" s="107"/>
      <c r="BG704" s="107"/>
      <c r="BH704" s="107"/>
      <c r="BI704" s="107"/>
      <c r="BJ704" s="107">
        <v>2223.69346</v>
      </c>
      <c r="BK704" s="107"/>
      <c r="BL704" s="107"/>
      <c r="BM704" s="107"/>
      <c r="BN704" s="107"/>
      <c r="BO704" s="107"/>
      <c r="BP704" s="107"/>
      <c r="BQ704" s="109"/>
      <c r="BR704" s="109"/>
      <c r="BS704" s="109"/>
      <c r="BT704" s="109"/>
      <c r="BU704" s="138"/>
    </row>
    <row r="705" spans="1:73" ht="38.25" customHeight="1" outlineLevel="2">
      <c r="A705" s="35" t="s">
        <v>605</v>
      </c>
      <c r="B705" s="37" t="s">
        <v>211</v>
      </c>
      <c r="C705" s="20" t="s">
        <v>587</v>
      </c>
      <c r="D705" s="218" t="s">
        <v>1266</v>
      </c>
      <c r="E705" s="220" t="s">
        <v>2506</v>
      </c>
      <c r="F705" s="108">
        <f t="shared" si="118"/>
        <v>257.496</v>
      </c>
      <c r="G705" s="106">
        <f t="shared" si="121"/>
        <v>169.75863</v>
      </c>
      <c r="H705" s="106">
        <f t="shared" si="122"/>
        <v>87.73737</v>
      </c>
      <c r="I705" s="107"/>
      <c r="J705" s="107"/>
      <c r="K705" s="107">
        <v>88.36207</v>
      </c>
      <c r="L705" s="107">
        <v>10.57229</v>
      </c>
      <c r="M705" s="107"/>
      <c r="N705" s="107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7"/>
      <c r="Z705" s="107"/>
      <c r="AA705" s="159">
        <v>19.87917</v>
      </c>
      <c r="AB705" s="106">
        <v>16.83621</v>
      </c>
      <c r="AC705" s="107"/>
      <c r="AD705" s="107"/>
      <c r="AE705" s="107"/>
      <c r="AF705" s="107"/>
      <c r="AG705" s="107"/>
      <c r="AH705" s="107"/>
      <c r="AI705" s="107"/>
      <c r="AJ705" s="108">
        <v>0</v>
      </c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7"/>
      <c r="AV705" s="107"/>
      <c r="AW705" s="107"/>
      <c r="AX705" s="107"/>
      <c r="AY705" s="106"/>
      <c r="AZ705" s="107"/>
      <c r="BA705" s="107"/>
      <c r="BB705" s="107"/>
      <c r="BC705" s="107">
        <v>61.51739</v>
      </c>
      <c r="BD705" s="107">
        <v>60.32887</v>
      </c>
      <c r="BE705" s="107"/>
      <c r="BF705" s="107"/>
      <c r="BG705" s="107"/>
      <c r="BH705" s="107"/>
      <c r="BI705" s="107"/>
      <c r="BJ705" s="107"/>
      <c r="BK705" s="107"/>
      <c r="BL705" s="107"/>
      <c r="BM705" s="107"/>
      <c r="BN705" s="107"/>
      <c r="BO705" s="107"/>
      <c r="BP705" s="107"/>
      <c r="BQ705" s="109"/>
      <c r="BR705" s="109"/>
      <c r="BS705" s="109"/>
      <c r="BT705" s="109"/>
      <c r="BU705" s="138"/>
    </row>
    <row r="706" spans="1:73" ht="38.25" customHeight="1" outlineLevel="2">
      <c r="A706" s="35" t="s">
        <v>605</v>
      </c>
      <c r="B706" s="37" t="s">
        <v>212</v>
      </c>
      <c r="C706" s="20" t="s">
        <v>587</v>
      </c>
      <c r="D706" s="218" t="s">
        <v>49</v>
      </c>
      <c r="E706" s="220" t="s">
        <v>2507</v>
      </c>
      <c r="F706" s="108">
        <f t="shared" si="118"/>
        <v>722.07917</v>
      </c>
      <c r="G706" s="106">
        <f t="shared" si="121"/>
        <v>475.41707</v>
      </c>
      <c r="H706" s="106">
        <f t="shared" si="122"/>
        <v>246.6621</v>
      </c>
      <c r="I706" s="107"/>
      <c r="J706" s="107"/>
      <c r="K706" s="107">
        <v>79.58766</v>
      </c>
      <c r="L706" s="107">
        <v>16.72952</v>
      </c>
      <c r="M706" s="107"/>
      <c r="N706" s="107"/>
      <c r="O706" s="106">
        <v>125.2326</v>
      </c>
      <c r="P706" s="106">
        <v>5.61851</v>
      </c>
      <c r="Q706" s="106"/>
      <c r="R706" s="106"/>
      <c r="S706" s="106"/>
      <c r="T706" s="106"/>
      <c r="U706" s="106"/>
      <c r="V706" s="106"/>
      <c r="W706" s="106">
        <v>123.63641</v>
      </c>
      <c r="X706" s="106">
        <v>64.54687</v>
      </c>
      <c r="Y706" s="107"/>
      <c r="Z706" s="107"/>
      <c r="AA706" s="159">
        <v>26.20606</v>
      </c>
      <c r="AB706" s="106">
        <v>23.76877</v>
      </c>
      <c r="AC706" s="107"/>
      <c r="AD706" s="107"/>
      <c r="AE706" s="107"/>
      <c r="AF706" s="107"/>
      <c r="AG706" s="107"/>
      <c r="AH706" s="107"/>
      <c r="AI706" s="107"/>
      <c r="AJ706" s="108">
        <v>0</v>
      </c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7"/>
      <c r="AV706" s="107"/>
      <c r="AW706" s="107"/>
      <c r="AX706" s="107"/>
      <c r="AY706" s="106"/>
      <c r="AZ706" s="107"/>
      <c r="BA706" s="107"/>
      <c r="BB706" s="107"/>
      <c r="BC706" s="107">
        <v>120.75434</v>
      </c>
      <c r="BD706" s="107">
        <v>118.42198</v>
      </c>
      <c r="BE706" s="107">
        <v>17.57645</v>
      </c>
      <c r="BF706" s="107"/>
      <c r="BG706" s="107"/>
      <c r="BH706" s="107"/>
      <c r="BI706" s="107"/>
      <c r="BJ706" s="107"/>
      <c r="BK706" s="107"/>
      <c r="BL706" s="107"/>
      <c r="BM706" s="107"/>
      <c r="BN706" s="107"/>
      <c r="BO706" s="107"/>
      <c r="BP706" s="107"/>
      <c r="BQ706" s="109"/>
      <c r="BR706" s="109"/>
      <c r="BS706" s="109"/>
      <c r="BT706" s="109"/>
      <c r="BU706" s="138"/>
    </row>
    <row r="707" spans="1:73" ht="38.25" customHeight="1" outlineLevel="2">
      <c r="A707" s="35" t="s">
        <v>605</v>
      </c>
      <c r="B707" s="37" t="s">
        <v>213</v>
      </c>
      <c r="C707" s="20" t="s">
        <v>587</v>
      </c>
      <c r="D707" s="218" t="s">
        <v>50</v>
      </c>
      <c r="E707" s="220" t="s">
        <v>2508</v>
      </c>
      <c r="F707" s="108">
        <f t="shared" si="118"/>
        <v>206.7875</v>
      </c>
      <c r="G707" s="106">
        <f t="shared" si="121"/>
        <v>92.57278</v>
      </c>
      <c r="H707" s="106">
        <f t="shared" si="122"/>
        <v>114.21472</v>
      </c>
      <c r="I707" s="107"/>
      <c r="J707" s="107"/>
      <c r="K707" s="107"/>
      <c r="L707" s="107"/>
      <c r="M707" s="107"/>
      <c r="N707" s="107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7"/>
      <c r="Z707" s="107"/>
      <c r="AA707" s="159">
        <v>23.07637</v>
      </c>
      <c r="AB707" s="106">
        <v>20.79767</v>
      </c>
      <c r="AC707" s="107"/>
      <c r="AD707" s="107"/>
      <c r="AE707" s="107"/>
      <c r="AF707" s="107"/>
      <c r="AG707" s="107"/>
      <c r="AH707" s="107"/>
      <c r="AI707" s="107"/>
      <c r="AJ707" s="108">
        <v>25.26168</v>
      </c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7"/>
      <c r="AV707" s="107"/>
      <c r="AW707" s="107"/>
      <c r="AX707" s="107"/>
      <c r="AY707" s="106"/>
      <c r="AZ707" s="107"/>
      <c r="BA707" s="107"/>
      <c r="BB707" s="107"/>
      <c r="BC707" s="107">
        <v>69.49641</v>
      </c>
      <c r="BD707" s="107">
        <v>68.15537</v>
      </c>
      <c r="BE707" s="107"/>
      <c r="BF707" s="107"/>
      <c r="BG707" s="107"/>
      <c r="BH707" s="107"/>
      <c r="BI707" s="107"/>
      <c r="BJ707" s="107"/>
      <c r="BK707" s="107"/>
      <c r="BL707" s="107"/>
      <c r="BM707" s="107"/>
      <c r="BN707" s="107"/>
      <c r="BO707" s="107"/>
      <c r="BP707" s="107"/>
      <c r="BQ707" s="109"/>
      <c r="BR707" s="109"/>
      <c r="BS707" s="109"/>
      <c r="BT707" s="109"/>
      <c r="BU707" s="138"/>
    </row>
    <row r="708" spans="1:73" ht="38.25" customHeight="1" outlineLevel="2">
      <c r="A708" s="35" t="s">
        <v>605</v>
      </c>
      <c r="B708" s="37" t="s">
        <v>214</v>
      </c>
      <c r="C708" s="20" t="s">
        <v>587</v>
      </c>
      <c r="D708" s="218" t="s">
        <v>1267</v>
      </c>
      <c r="E708" s="220" t="s">
        <v>2509</v>
      </c>
      <c r="F708" s="108">
        <f t="shared" si="118"/>
        <v>260.50946</v>
      </c>
      <c r="G708" s="106">
        <f t="shared" si="121"/>
        <v>134.38591</v>
      </c>
      <c r="H708" s="106">
        <f t="shared" si="122"/>
        <v>126.12355</v>
      </c>
      <c r="I708" s="107"/>
      <c r="J708" s="107"/>
      <c r="K708" s="107"/>
      <c r="L708" s="107"/>
      <c r="M708" s="107"/>
      <c r="N708" s="107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7"/>
      <c r="Z708" s="107"/>
      <c r="AA708" s="159">
        <v>40.11189</v>
      </c>
      <c r="AB708" s="106">
        <v>33.67243</v>
      </c>
      <c r="AC708" s="107"/>
      <c r="AD708" s="107"/>
      <c r="AE708" s="107"/>
      <c r="AF708" s="107"/>
      <c r="AG708" s="107"/>
      <c r="AH708" s="107"/>
      <c r="AI708" s="107"/>
      <c r="AJ708" s="108">
        <v>0</v>
      </c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7"/>
      <c r="AV708" s="107"/>
      <c r="AW708" s="107"/>
      <c r="AX708" s="107"/>
      <c r="AY708" s="106"/>
      <c r="AZ708" s="107"/>
      <c r="BA708" s="107"/>
      <c r="BB708" s="107"/>
      <c r="BC708" s="107">
        <v>94.27402</v>
      </c>
      <c r="BD708" s="107">
        <v>92.45112</v>
      </c>
      <c r="BE708" s="107"/>
      <c r="BF708" s="107"/>
      <c r="BG708" s="107"/>
      <c r="BH708" s="107"/>
      <c r="BI708" s="107"/>
      <c r="BJ708" s="107"/>
      <c r="BK708" s="107"/>
      <c r="BL708" s="107"/>
      <c r="BM708" s="107"/>
      <c r="BN708" s="107"/>
      <c r="BO708" s="107"/>
      <c r="BP708" s="107"/>
      <c r="BQ708" s="109"/>
      <c r="BR708" s="109"/>
      <c r="BS708" s="109"/>
      <c r="BT708" s="109"/>
      <c r="BU708" s="138"/>
    </row>
    <row r="709" spans="1:73" ht="38.25" customHeight="1" outlineLevel="2">
      <c r="A709" s="35" t="s">
        <v>605</v>
      </c>
      <c r="B709" s="37" t="s">
        <v>215</v>
      </c>
      <c r="C709" s="20" t="s">
        <v>587</v>
      </c>
      <c r="D709" s="218" t="s">
        <v>1452</v>
      </c>
      <c r="E709" s="220" t="s">
        <v>2510</v>
      </c>
      <c r="F709" s="108">
        <f t="shared" si="118"/>
        <v>807.5316999999999</v>
      </c>
      <c r="G709" s="106">
        <f t="shared" si="121"/>
        <v>601.9989499999999</v>
      </c>
      <c r="H709" s="106">
        <f t="shared" si="122"/>
        <v>205.53275</v>
      </c>
      <c r="I709" s="107"/>
      <c r="J709" s="107"/>
      <c r="K709" s="107">
        <v>290.55684</v>
      </c>
      <c r="L709" s="107">
        <v>39.13431</v>
      </c>
      <c r="M709" s="107"/>
      <c r="N709" s="107"/>
      <c r="O709" s="106">
        <v>134.76017</v>
      </c>
      <c r="P709" s="106">
        <v>6.0293</v>
      </c>
      <c r="Q709" s="106"/>
      <c r="R709" s="106"/>
      <c r="S709" s="106"/>
      <c r="T709" s="106"/>
      <c r="U709" s="106"/>
      <c r="V709" s="106"/>
      <c r="W709" s="106">
        <v>72.78788</v>
      </c>
      <c r="X709" s="106">
        <v>38.00038</v>
      </c>
      <c r="Y709" s="107"/>
      <c r="Z709" s="107"/>
      <c r="AA709" s="159">
        <v>24.35032</v>
      </c>
      <c r="AB709" s="106">
        <v>21.78804</v>
      </c>
      <c r="AC709" s="107"/>
      <c r="AD709" s="107"/>
      <c r="AE709" s="107"/>
      <c r="AF709" s="107"/>
      <c r="AG709" s="107"/>
      <c r="AH709" s="107"/>
      <c r="AI709" s="107"/>
      <c r="AJ709" s="108">
        <v>22.57308</v>
      </c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7"/>
      <c r="AV709" s="107"/>
      <c r="AW709" s="107"/>
      <c r="AX709" s="107"/>
      <c r="AY709" s="106"/>
      <c r="AZ709" s="107"/>
      <c r="BA709" s="107"/>
      <c r="BB709" s="107"/>
      <c r="BC709" s="107">
        <v>79.54374</v>
      </c>
      <c r="BD709" s="107">
        <v>78.00764</v>
      </c>
      <c r="BE709" s="107"/>
      <c r="BF709" s="107"/>
      <c r="BG709" s="107"/>
      <c r="BH709" s="107"/>
      <c r="BI709" s="107"/>
      <c r="BJ709" s="107"/>
      <c r="BK709" s="107"/>
      <c r="BL709" s="107"/>
      <c r="BM709" s="107"/>
      <c r="BN709" s="107"/>
      <c r="BO709" s="107"/>
      <c r="BP709" s="107"/>
      <c r="BQ709" s="109"/>
      <c r="BR709" s="109"/>
      <c r="BS709" s="109"/>
      <c r="BT709" s="109"/>
      <c r="BU709" s="138"/>
    </row>
    <row r="710" spans="1:73" ht="38.25" customHeight="1" outlineLevel="2">
      <c r="A710" s="35" t="s">
        <v>605</v>
      </c>
      <c r="B710" s="37" t="s">
        <v>35</v>
      </c>
      <c r="C710" s="20" t="s">
        <v>587</v>
      </c>
      <c r="D710" s="218" t="s">
        <v>1473</v>
      </c>
      <c r="E710" s="220" t="s">
        <v>2511</v>
      </c>
      <c r="F710" s="108">
        <f t="shared" si="118"/>
        <v>4420.83549</v>
      </c>
      <c r="G710" s="106">
        <f t="shared" si="121"/>
        <v>2973.22699</v>
      </c>
      <c r="H710" s="106">
        <f t="shared" si="122"/>
        <v>1447.6085</v>
      </c>
      <c r="I710" s="107"/>
      <c r="J710" s="107"/>
      <c r="K710" s="107">
        <v>791.83295</v>
      </c>
      <c r="L710" s="107">
        <v>62.65145</v>
      </c>
      <c r="M710" s="107"/>
      <c r="N710" s="107"/>
      <c r="O710" s="106">
        <v>273.10452</v>
      </c>
      <c r="P710" s="106">
        <v>10.62527</v>
      </c>
      <c r="Q710" s="106"/>
      <c r="R710" s="106"/>
      <c r="S710" s="106"/>
      <c r="T710" s="106"/>
      <c r="U710" s="106"/>
      <c r="V710" s="106"/>
      <c r="W710" s="106">
        <v>794.91774</v>
      </c>
      <c r="X710" s="106">
        <v>415.00271</v>
      </c>
      <c r="Y710" s="107"/>
      <c r="Z710" s="107"/>
      <c r="AA710" s="159">
        <v>442.54444</v>
      </c>
      <c r="AB710" s="106">
        <v>301.46724</v>
      </c>
      <c r="AC710" s="107"/>
      <c r="AD710" s="107"/>
      <c r="AE710" s="107"/>
      <c r="AF710" s="107"/>
      <c r="AG710" s="107"/>
      <c r="AH710" s="107"/>
      <c r="AI710" s="107"/>
      <c r="AJ710" s="108">
        <v>0</v>
      </c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7"/>
      <c r="AV710" s="107"/>
      <c r="AW710" s="107"/>
      <c r="AX710" s="107"/>
      <c r="AY710" s="106"/>
      <c r="AZ710" s="107"/>
      <c r="BA710" s="107"/>
      <c r="BB710" s="107"/>
      <c r="BC710" s="107">
        <v>670.82734</v>
      </c>
      <c r="BD710" s="107">
        <v>657.86183</v>
      </c>
      <c r="BE710" s="107"/>
      <c r="BF710" s="107"/>
      <c r="BG710" s="107"/>
      <c r="BH710" s="107"/>
      <c r="BI710" s="107"/>
      <c r="BJ710" s="107"/>
      <c r="BK710" s="107"/>
      <c r="BL710" s="107"/>
      <c r="BM710" s="107"/>
      <c r="BN710" s="107"/>
      <c r="BO710" s="107"/>
      <c r="BP710" s="107"/>
      <c r="BQ710" s="109"/>
      <c r="BR710" s="109"/>
      <c r="BS710" s="109"/>
      <c r="BT710" s="109"/>
      <c r="BU710" s="138"/>
    </row>
    <row r="711" spans="1:73" ht="38.25" customHeight="1" outlineLevel="2">
      <c r="A711" s="35" t="s">
        <v>605</v>
      </c>
      <c r="B711" s="37" t="s">
        <v>36</v>
      </c>
      <c r="C711" s="20" t="s">
        <v>587</v>
      </c>
      <c r="D711" s="218" t="s">
        <v>793</v>
      </c>
      <c r="E711" s="220" t="s">
        <v>2512</v>
      </c>
      <c r="F711" s="108">
        <f t="shared" si="118"/>
        <v>469.86086</v>
      </c>
      <c r="G711" s="106">
        <f t="shared" si="121"/>
        <v>318.97926</v>
      </c>
      <c r="H711" s="106">
        <f t="shared" si="122"/>
        <v>150.8816</v>
      </c>
      <c r="I711" s="107"/>
      <c r="J711" s="107"/>
      <c r="K711" s="107">
        <v>251.10043</v>
      </c>
      <c r="L711" s="107">
        <v>26.67477</v>
      </c>
      <c r="M711" s="107"/>
      <c r="N711" s="107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7"/>
      <c r="Z711" s="107"/>
      <c r="AA711" s="159">
        <v>22.72173</v>
      </c>
      <c r="AB711" s="106">
        <v>20.79767</v>
      </c>
      <c r="AC711" s="107"/>
      <c r="AD711" s="107"/>
      <c r="AE711" s="107"/>
      <c r="AF711" s="107"/>
      <c r="AG711" s="107"/>
      <c r="AH711" s="107"/>
      <c r="AI711" s="107"/>
      <c r="AJ711" s="108">
        <v>0</v>
      </c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7"/>
      <c r="AV711" s="107"/>
      <c r="AW711" s="107"/>
      <c r="AX711" s="107"/>
      <c r="AY711" s="106"/>
      <c r="AZ711" s="107"/>
      <c r="BA711" s="107">
        <v>59.12538</v>
      </c>
      <c r="BB711" s="107"/>
      <c r="BC711" s="107">
        <v>45.1571</v>
      </c>
      <c r="BD711" s="107">
        <v>44.28378</v>
      </c>
      <c r="BE711" s="107"/>
      <c r="BF711" s="107"/>
      <c r="BG711" s="107"/>
      <c r="BH711" s="107"/>
      <c r="BI711" s="107"/>
      <c r="BJ711" s="107"/>
      <c r="BK711" s="107"/>
      <c r="BL711" s="107"/>
      <c r="BM711" s="107"/>
      <c r="BN711" s="107"/>
      <c r="BO711" s="107"/>
      <c r="BP711" s="107"/>
      <c r="BQ711" s="109"/>
      <c r="BR711" s="109"/>
      <c r="BS711" s="109"/>
      <c r="BT711" s="109"/>
      <c r="BU711" s="138"/>
    </row>
    <row r="712" spans="1:73" ht="38.25" customHeight="1" outlineLevel="2">
      <c r="A712" s="35" t="s">
        <v>605</v>
      </c>
      <c r="B712" s="37" t="s">
        <v>37</v>
      </c>
      <c r="C712" s="20" t="s">
        <v>587</v>
      </c>
      <c r="D712" s="218" t="s">
        <v>265</v>
      </c>
      <c r="E712" s="220" t="s">
        <v>2513</v>
      </c>
      <c r="F712" s="108">
        <f t="shared" si="118"/>
        <v>1647.68059</v>
      </c>
      <c r="G712" s="106">
        <f t="shared" si="121"/>
        <v>325.78913</v>
      </c>
      <c r="H712" s="106">
        <f t="shared" si="122"/>
        <v>1321.89146</v>
      </c>
      <c r="I712" s="107"/>
      <c r="J712" s="107"/>
      <c r="K712" s="107">
        <v>126.86189</v>
      </c>
      <c r="L712" s="107">
        <v>63.43092</v>
      </c>
      <c r="M712" s="107">
        <v>34.64413</v>
      </c>
      <c r="N712" s="107"/>
      <c r="O712" s="106">
        <v>2.97605</v>
      </c>
      <c r="P712" s="106">
        <v>0.15663</v>
      </c>
      <c r="Q712" s="106"/>
      <c r="R712" s="106"/>
      <c r="S712" s="106"/>
      <c r="T712" s="106"/>
      <c r="U712" s="106"/>
      <c r="V712" s="106"/>
      <c r="W712" s="106">
        <v>86.65039</v>
      </c>
      <c r="X712" s="106">
        <v>45.23756</v>
      </c>
      <c r="Y712" s="107">
        <v>4.56</v>
      </c>
      <c r="Z712" s="107">
        <v>11.979</v>
      </c>
      <c r="AA712" s="159">
        <v>22.71796</v>
      </c>
      <c r="AB712" s="106">
        <v>21.19382</v>
      </c>
      <c r="AC712" s="107"/>
      <c r="AD712" s="107"/>
      <c r="AE712" s="107"/>
      <c r="AF712" s="107"/>
      <c r="AG712" s="107"/>
      <c r="AH712" s="107"/>
      <c r="AI712" s="107"/>
      <c r="AJ712" s="108">
        <v>8.77904</v>
      </c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7"/>
      <c r="AV712" s="107"/>
      <c r="AW712" s="107"/>
      <c r="AX712" s="107"/>
      <c r="AY712" s="106"/>
      <c r="AZ712" s="107"/>
      <c r="BA712" s="107"/>
      <c r="BB712" s="107"/>
      <c r="BC712" s="107">
        <v>82.02284</v>
      </c>
      <c r="BD712" s="107">
        <v>80.43797</v>
      </c>
      <c r="BE712" s="107"/>
      <c r="BF712" s="107"/>
      <c r="BG712" s="107"/>
      <c r="BH712" s="107"/>
      <c r="BI712" s="107"/>
      <c r="BJ712" s="107">
        <v>1056.03239</v>
      </c>
      <c r="BK712" s="107"/>
      <c r="BL712" s="107"/>
      <c r="BM712" s="107"/>
      <c r="BN712" s="107"/>
      <c r="BO712" s="107"/>
      <c r="BP712" s="107"/>
      <c r="BQ712" s="109"/>
      <c r="BR712" s="109"/>
      <c r="BS712" s="109"/>
      <c r="BT712" s="109"/>
      <c r="BU712" s="138"/>
    </row>
    <row r="713" spans="1:73" ht="38.25" customHeight="1" outlineLevel="2">
      <c r="A713" s="35" t="s">
        <v>605</v>
      </c>
      <c r="B713" s="37" t="s">
        <v>284</v>
      </c>
      <c r="C713" s="20" t="s">
        <v>587</v>
      </c>
      <c r="D713" s="218" t="s">
        <v>266</v>
      </c>
      <c r="E713" s="220" t="s">
        <v>2514</v>
      </c>
      <c r="F713" s="108">
        <f t="shared" si="118"/>
        <v>213.87394999999998</v>
      </c>
      <c r="G713" s="106">
        <f t="shared" si="121"/>
        <v>133.52107999999998</v>
      </c>
      <c r="H713" s="106">
        <f t="shared" si="122"/>
        <v>80.35287</v>
      </c>
      <c r="I713" s="107"/>
      <c r="J713" s="107"/>
      <c r="K713" s="107"/>
      <c r="L713" s="107"/>
      <c r="M713" s="107"/>
      <c r="N713" s="107"/>
      <c r="O713" s="106">
        <v>53.4348</v>
      </c>
      <c r="P713" s="106">
        <v>2.38063</v>
      </c>
      <c r="Q713" s="106"/>
      <c r="R713" s="106"/>
      <c r="S713" s="106"/>
      <c r="T713" s="106"/>
      <c r="U713" s="106"/>
      <c r="V713" s="106"/>
      <c r="W713" s="106"/>
      <c r="X713" s="106"/>
      <c r="Y713" s="107"/>
      <c r="Z713" s="107"/>
      <c r="AA713" s="159">
        <v>20.77611</v>
      </c>
      <c r="AB713" s="106">
        <v>19.80731</v>
      </c>
      <c r="AC713" s="107"/>
      <c r="AD713" s="107"/>
      <c r="AE713" s="107"/>
      <c r="AF713" s="107"/>
      <c r="AG713" s="107"/>
      <c r="AH713" s="107"/>
      <c r="AI713" s="107"/>
      <c r="AJ713" s="108">
        <v>0</v>
      </c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7"/>
      <c r="AV713" s="107"/>
      <c r="AW713" s="107"/>
      <c r="AX713" s="107"/>
      <c r="AY713" s="106"/>
      <c r="AZ713" s="107"/>
      <c r="BA713" s="107"/>
      <c r="BB713" s="107"/>
      <c r="BC713" s="107">
        <v>59.31017</v>
      </c>
      <c r="BD713" s="107">
        <v>58.16493</v>
      </c>
      <c r="BE713" s="107"/>
      <c r="BF713" s="107"/>
      <c r="BG713" s="107"/>
      <c r="BH713" s="107"/>
      <c r="BI713" s="107"/>
      <c r="BJ713" s="107"/>
      <c r="BK713" s="107"/>
      <c r="BL713" s="107"/>
      <c r="BM713" s="107"/>
      <c r="BN713" s="107"/>
      <c r="BO713" s="107"/>
      <c r="BP713" s="107"/>
      <c r="BQ713" s="109"/>
      <c r="BR713" s="109"/>
      <c r="BS713" s="109"/>
      <c r="BT713" s="109"/>
      <c r="BU713" s="138"/>
    </row>
    <row r="714" spans="1:73" ht="38.25" customHeight="1" outlineLevel="2">
      <c r="A714" s="35" t="s">
        <v>605</v>
      </c>
      <c r="B714" s="37" t="s">
        <v>38</v>
      </c>
      <c r="C714" s="20" t="s">
        <v>587</v>
      </c>
      <c r="D714" s="218" t="s">
        <v>0</v>
      </c>
      <c r="E714" s="220" t="s">
        <v>2515</v>
      </c>
      <c r="F714" s="108">
        <f t="shared" si="118"/>
        <v>623.4707</v>
      </c>
      <c r="G714" s="106">
        <f t="shared" si="121"/>
        <v>443.83234999999996</v>
      </c>
      <c r="H714" s="106">
        <f t="shared" si="122"/>
        <v>179.63835</v>
      </c>
      <c r="I714" s="107">
        <v>2.66718</v>
      </c>
      <c r="J714" s="107">
        <v>7.54902</v>
      </c>
      <c r="K714" s="107">
        <v>221.79499</v>
      </c>
      <c r="L714" s="107">
        <v>31.00809</v>
      </c>
      <c r="M714" s="107"/>
      <c r="N714" s="107"/>
      <c r="O714" s="106">
        <f>98.96076+5.49184</f>
        <v>104.45259999999999</v>
      </c>
      <c r="P714" s="106">
        <f>4.42961+2.74591</f>
        <v>7.175520000000001</v>
      </c>
      <c r="Q714" s="106"/>
      <c r="R714" s="106"/>
      <c r="S714" s="106"/>
      <c r="T714" s="106"/>
      <c r="U714" s="106"/>
      <c r="V714" s="106"/>
      <c r="W714" s="106"/>
      <c r="X714" s="106"/>
      <c r="Y714" s="107"/>
      <c r="Z714" s="107"/>
      <c r="AA714" s="159">
        <v>15.11809</v>
      </c>
      <c r="AB714" s="106">
        <v>13.86512</v>
      </c>
      <c r="AC714" s="107"/>
      <c r="AD714" s="107"/>
      <c r="AE714" s="107"/>
      <c r="AF714" s="107"/>
      <c r="AG714" s="107"/>
      <c r="AH714" s="107"/>
      <c r="AI714" s="107"/>
      <c r="AJ714" s="108">
        <v>0</v>
      </c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7"/>
      <c r="AV714" s="107"/>
      <c r="AW714" s="107"/>
      <c r="AX714" s="107"/>
      <c r="AY714" s="106"/>
      <c r="AZ714" s="107"/>
      <c r="BA714" s="107"/>
      <c r="BB714" s="107"/>
      <c r="BC714" s="107">
        <v>99.79949</v>
      </c>
      <c r="BD714" s="107">
        <v>97.87207</v>
      </c>
      <c r="BE714" s="107"/>
      <c r="BF714" s="107"/>
      <c r="BG714" s="107"/>
      <c r="BH714" s="107"/>
      <c r="BI714" s="107"/>
      <c r="BJ714" s="107">
        <v>22.16853</v>
      </c>
      <c r="BK714" s="107"/>
      <c r="BL714" s="107"/>
      <c r="BM714" s="107"/>
      <c r="BN714" s="107"/>
      <c r="BO714" s="107"/>
      <c r="BP714" s="107"/>
      <c r="BQ714" s="109"/>
      <c r="BR714" s="109"/>
      <c r="BS714" s="109"/>
      <c r="BT714" s="109"/>
      <c r="BU714" s="138"/>
    </row>
    <row r="715" spans="1:73" ht="38.25" customHeight="1" outlineLevel="2">
      <c r="A715" s="35" t="s">
        <v>605</v>
      </c>
      <c r="B715" s="37" t="s">
        <v>39</v>
      </c>
      <c r="C715" s="20" t="s">
        <v>587</v>
      </c>
      <c r="D715" s="218" t="s">
        <v>879</v>
      </c>
      <c r="E715" s="220" t="s">
        <v>2516</v>
      </c>
      <c r="F715" s="108">
        <f t="shared" si="118"/>
        <v>2309.41099</v>
      </c>
      <c r="G715" s="106">
        <f t="shared" si="121"/>
        <v>596.33047</v>
      </c>
      <c r="H715" s="106">
        <f t="shared" si="122"/>
        <v>1713.08052</v>
      </c>
      <c r="I715" s="107"/>
      <c r="J715" s="107"/>
      <c r="K715" s="107">
        <v>172.32759</v>
      </c>
      <c r="L715" s="107">
        <v>29.64763</v>
      </c>
      <c r="M715" s="107"/>
      <c r="N715" s="107"/>
      <c r="O715" s="106">
        <v>134.03083</v>
      </c>
      <c r="P715" s="106">
        <v>5.92999</v>
      </c>
      <c r="Q715" s="106"/>
      <c r="R715" s="106"/>
      <c r="S715" s="106"/>
      <c r="T715" s="106"/>
      <c r="U715" s="106"/>
      <c r="V715" s="106"/>
      <c r="W715" s="106">
        <v>129.6678</v>
      </c>
      <c r="X715" s="106">
        <v>67.69567</v>
      </c>
      <c r="Y715" s="107"/>
      <c r="Z715" s="107"/>
      <c r="AA715" s="159">
        <v>40.32523</v>
      </c>
      <c r="AB715" s="106">
        <v>35.85123</v>
      </c>
      <c r="AC715" s="107"/>
      <c r="AD715" s="107"/>
      <c r="AE715" s="107"/>
      <c r="AF715" s="107"/>
      <c r="AG715" s="107"/>
      <c r="AH715" s="107"/>
      <c r="AI715" s="107"/>
      <c r="AJ715" s="108">
        <v>36.72932</v>
      </c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7"/>
      <c r="AV715" s="107"/>
      <c r="AW715" s="107"/>
      <c r="AX715" s="107"/>
      <c r="AY715" s="106"/>
      <c r="AZ715" s="107"/>
      <c r="BA715" s="107">
        <v>86.54017</v>
      </c>
      <c r="BB715" s="107"/>
      <c r="BC715" s="107">
        <v>119.97902</v>
      </c>
      <c r="BD715" s="107">
        <v>117.66203</v>
      </c>
      <c r="BE715" s="107"/>
      <c r="BF715" s="107"/>
      <c r="BG715" s="107"/>
      <c r="BH715" s="107"/>
      <c r="BI715" s="107"/>
      <c r="BJ715" s="107">
        <v>1333.02448</v>
      </c>
      <c r="BK715" s="107"/>
      <c r="BL715" s="107"/>
      <c r="BM715" s="107"/>
      <c r="BN715" s="107"/>
      <c r="BO715" s="107"/>
      <c r="BP715" s="107"/>
      <c r="BQ715" s="109"/>
      <c r="BR715" s="109"/>
      <c r="BS715" s="109"/>
      <c r="BT715" s="109"/>
      <c r="BU715" s="138"/>
    </row>
    <row r="716" spans="1:73" ht="38.25" customHeight="1" outlineLevel="2">
      <c r="A716" s="35" t="s">
        <v>605</v>
      </c>
      <c r="B716" s="37" t="s">
        <v>40</v>
      </c>
      <c r="C716" s="20" t="s">
        <v>587</v>
      </c>
      <c r="D716" s="218" t="s">
        <v>880</v>
      </c>
      <c r="E716" s="220" t="s">
        <v>2517</v>
      </c>
      <c r="F716" s="108">
        <f t="shared" si="118"/>
        <v>1315.60869</v>
      </c>
      <c r="G716" s="106">
        <f t="shared" si="121"/>
        <v>643.26276</v>
      </c>
      <c r="H716" s="106">
        <f t="shared" si="122"/>
        <v>672.34593</v>
      </c>
      <c r="I716" s="107"/>
      <c r="J716" s="107">
        <v>3.94202</v>
      </c>
      <c r="K716" s="107"/>
      <c r="L716" s="107"/>
      <c r="M716" s="107"/>
      <c r="N716" s="107"/>
      <c r="O716" s="106">
        <v>45.88452</v>
      </c>
      <c r="P716" s="106">
        <v>2.073</v>
      </c>
      <c r="Q716" s="106"/>
      <c r="R716" s="106"/>
      <c r="S716" s="106"/>
      <c r="T716" s="106"/>
      <c r="U716" s="106"/>
      <c r="V716" s="106"/>
      <c r="W716" s="106">
        <v>302.52437</v>
      </c>
      <c r="X716" s="106">
        <v>157.93891</v>
      </c>
      <c r="Y716" s="107"/>
      <c r="Z716" s="107"/>
      <c r="AA716" s="159">
        <v>67.99927</v>
      </c>
      <c r="AB716" s="106">
        <v>65.36412</v>
      </c>
      <c r="AC716" s="107"/>
      <c r="AD716" s="107"/>
      <c r="AE716" s="107"/>
      <c r="AF716" s="107"/>
      <c r="AG716" s="107"/>
      <c r="AH716" s="107"/>
      <c r="AI716" s="107"/>
      <c r="AJ716" s="108">
        <v>87.25268</v>
      </c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7"/>
      <c r="AV716" s="107"/>
      <c r="AW716" s="107"/>
      <c r="AX716" s="107"/>
      <c r="AY716" s="106"/>
      <c r="AZ716" s="107"/>
      <c r="BA716" s="107"/>
      <c r="BB716" s="107"/>
      <c r="BC716" s="107">
        <v>226.8546</v>
      </c>
      <c r="BD716" s="107">
        <v>222.47275</v>
      </c>
      <c r="BE716" s="107"/>
      <c r="BF716" s="107"/>
      <c r="BG716" s="107"/>
      <c r="BH716" s="107"/>
      <c r="BI716" s="107"/>
      <c r="BJ716" s="107">
        <v>133.30245</v>
      </c>
      <c r="BK716" s="107"/>
      <c r="BL716" s="107"/>
      <c r="BM716" s="107"/>
      <c r="BN716" s="107"/>
      <c r="BO716" s="107"/>
      <c r="BP716" s="107"/>
      <c r="BQ716" s="109"/>
      <c r="BR716" s="109"/>
      <c r="BS716" s="109"/>
      <c r="BT716" s="109"/>
      <c r="BU716" s="138"/>
    </row>
    <row r="717" spans="1:73" ht="38.25" customHeight="1" outlineLevel="2">
      <c r="A717" s="35" t="s">
        <v>605</v>
      </c>
      <c r="B717" s="37" t="s">
        <v>41</v>
      </c>
      <c r="C717" s="20" t="s">
        <v>587</v>
      </c>
      <c r="D717" s="218" t="s">
        <v>881</v>
      </c>
      <c r="E717" s="220" t="s">
        <v>2518</v>
      </c>
      <c r="F717" s="108">
        <f t="shared" si="118"/>
        <v>3382.3062800000002</v>
      </c>
      <c r="G717" s="106">
        <f t="shared" si="121"/>
        <v>834.78299</v>
      </c>
      <c r="H717" s="106">
        <f t="shared" si="122"/>
        <v>2547.52329</v>
      </c>
      <c r="I717" s="107"/>
      <c r="J717" s="107"/>
      <c r="K717" s="107">
        <v>302.05149</v>
      </c>
      <c r="L717" s="107">
        <v>151.02574</v>
      </c>
      <c r="M717" s="107"/>
      <c r="N717" s="107"/>
      <c r="O717" s="106">
        <f>81.42964+5.02592</f>
        <v>86.45556</v>
      </c>
      <c r="P717" s="106">
        <f>3.6426+2.51296</f>
        <v>6.1555599999999995</v>
      </c>
      <c r="Q717" s="106"/>
      <c r="R717" s="106"/>
      <c r="S717" s="106"/>
      <c r="T717" s="106"/>
      <c r="U717" s="106"/>
      <c r="V717" s="106"/>
      <c r="W717" s="106">
        <v>197.98186</v>
      </c>
      <c r="X717" s="106">
        <v>103.36039</v>
      </c>
      <c r="Y717" s="107"/>
      <c r="Z717" s="107"/>
      <c r="AA717" s="159">
        <v>55.92034</v>
      </c>
      <c r="AB717" s="106">
        <v>47.53754</v>
      </c>
      <c r="AC717" s="107"/>
      <c r="AD717" s="107"/>
      <c r="AE717" s="107"/>
      <c r="AF717" s="107"/>
      <c r="AG717" s="107"/>
      <c r="AH717" s="107"/>
      <c r="AI717" s="107"/>
      <c r="AJ717" s="108">
        <v>84.02636</v>
      </c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7"/>
      <c r="AV717" s="107"/>
      <c r="AW717" s="107"/>
      <c r="AX717" s="107"/>
      <c r="AY717" s="106"/>
      <c r="AZ717" s="107"/>
      <c r="BA717" s="107"/>
      <c r="BB717" s="107"/>
      <c r="BC717" s="107">
        <v>192.37374</v>
      </c>
      <c r="BD717" s="107">
        <v>188.65482</v>
      </c>
      <c r="BE717" s="107">
        <v>25.79364</v>
      </c>
      <c r="BF717" s="107"/>
      <c r="BG717" s="107"/>
      <c r="BH717" s="107"/>
      <c r="BI717" s="107"/>
      <c r="BJ717" s="107">
        <v>1940.96924</v>
      </c>
      <c r="BK717" s="107"/>
      <c r="BL717" s="107"/>
      <c r="BM717" s="107"/>
      <c r="BN717" s="107"/>
      <c r="BO717" s="107"/>
      <c r="BP717" s="107"/>
      <c r="BQ717" s="109"/>
      <c r="BR717" s="109"/>
      <c r="BS717" s="109"/>
      <c r="BT717" s="109"/>
      <c r="BU717" s="138"/>
    </row>
    <row r="718" spans="1:73" ht="38.25" customHeight="1" outlineLevel="2">
      <c r="A718" s="35" t="s">
        <v>605</v>
      </c>
      <c r="B718" s="37" t="s">
        <v>481</v>
      </c>
      <c r="C718" s="15" t="s">
        <v>587</v>
      </c>
      <c r="D718" s="218" t="s">
        <v>791</v>
      </c>
      <c r="E718" s="220" t="s">
        <v>2519</v>
      </c>
      <c r="F718" s="108">
        <f t="shared" si="118"/>
        <v>3335.02877</v>
      </c>
      <c r="G718" s="106">
        <f t="shared" si="121"/>
        <v>797.77271</v>
      </c>
      <c r="H718" s="106">
        <f t="shared" si="122"/>
        <v>2537.25606</v>
      </c>
      <c r="I718" s="107"/>
      <c r="J718" s="107"/>
      <c r="K718" s="107">
        <v>146.71824</v>
      </c>
      <c r="L718" s="107">
        <v>73.35915</v>
      </c>
      <c r="M718" s="107"/>
      <c r="N718" s="107"/>
      <c r="O718" s="106">
        <v>15.34046</v>
      </c>
      <c r="P718" s="106">
        <v>0.72665</v>
      </c>
      <c r="Q718" s="106"/>
      <c r="R718" s="106"/>
      <c r="S718" s="106"/>
      <c r="T718" s="106"/>
      <c r="U718" s="106"/>
      <c r="V718" s="106"/>
      <c r="W718" s="106">
        <v>310.86098</v>
      </c>
      <c r="X718" s="106">
        <v>162.2912</v>
      </c>
      <c r="Y718" s="107">
        <v>17.04611</v>
      </c>
      <c r="Z718" s="107">
        <v>80.85825</v>
      </c>
      <c r="AA718" s="159">
        <v>70.78093</v>
      </c>
      <c r="AB718" s="106">
        <v>59.42193</v>
      </c>
      <c r="AC718" s="107"/>
      <c r="AD718" s="107"/>
      <c r="AE718" s="107"/>
      <c r="AF718" s="107"/>
      <c r="AG718" s="107"/>
      <c r="AH718" s="107"/>
      <c r="AI718" s="107"/>
      <c r="AJ718" s="108">
        <v>0</v>
      </c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7"/>
      <c r="AV718" s="107"/>
      <c r="AW718" s="107"/>
      <c r="AX718" s="107"/>
      <c r="AY718" s="106"/>
      <c r="AZ718" s="107"/>
      <c r="BA718" s="107"/>
      <c r="BB718" s="107"/>
      <c r="BC718" s="107">
        <v>237.02599</v>
      </c>
      <c r="BD718" s="107">
        <v>232.44039</v>
      </c>
      <c r="BE718" s="107"/>
      <c r="BF718" s="107"/>
      <c r="BG718" s="107"/>
      <c r="BH718" s="107"/>
      <c r="BI718" s="107"/>
      <c r="BJ718" s="107">
        <v>1928.15849</v>
      </c>
      <c r="BK718" s="107"/>
      <c r="BL718" s="107"/>
      <c r="BM718" s="107"/>
      <c r="BN718" s="107"/>
      <c r="BO718" s="107"/>
      <c r="BP718" s="107"/>
      <c r="BQ718" s="109"/>
      <c r="BR718" s="109"/>
      <c r="BS718" s="109"/>
      <c r="BT718" s="109"/>
      <c r="BU718" s="138"/>
    </row>
    <row r="719" spans="1:73" ht="38.25" customHeight="1" outlineLevel="2">
      <c r="A719" s="35" t="s">
        <v>605</v>
      </c>
      <c r="B719" s="37" t="s">
        <v>42</v>
      </c>
      <c r="C719" s="20" t="s">
        <v>587</v>
      </c>
      <c r="D719" s="218" t="s">
        <v>430</v>
      </c>
      <c r="E719" s="220" t="s">
        <v>2520</v>
      </c>
      <c r="F719" s="108">
        <f t="shared" si="118"/>
        <v>1854.82633</v>
      </c>
      <c r="G719" s="106">
        <f t="shared" si="121"/>
        <v>331.06856</v>
      </c>
      <c r="H719" s="106">
        <f t="shared" si="122"/>
        <v>1523.7577700000002</v>
      </c>
      <c r="I719" s="107"/>
      <c r="J719" s="107"/>
      <c r="K719" s="107"/>
      <c r="L719" s="107"/>
      <c r="M719" s="107"/>
      <c r="N719" s="107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7"/>
      <c r="Z719" s="107"/>
      <c r="AA719" s="159">
        <v>109.67118</v>
      </c>
      <c r="AB719" s="106">
        <v>99.03655</v>
      </c>
      <c r="AC719" s="107"/>
      <c r="AD719" s="107"/>
      <c r="AE719" s="107"/>
      <c r="AF719" s="107"/>
      <c r="AG719" s="107"/>
      <c r="AH719" s="107"/>
      <c r="AI719" s="107"/>
      <c r="AJ719" s="108">
        <v>88.86732</v>
      </c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7"/>
      <c r="AV719" s="107"/>
      <c r="AW719" s="107"/>
      <c r="AX719" s="107"/>
      <c r="AY719" s="106"/>
      <c r="AZ719" s="107"/>
      <c r="BA719" s="107"/>
      <c r="BB719" s="107"/>
      <c r="BC719" s="107">
        <v>221.39738</v>
      </c>
      <c r="BD719" s="107">
        <v>217.11215</v>
      </c>
      <c r="BE719" s="107">
        <v>121.57019</v>
      </c>
      <c r="BF719" s="107"/>
      <c r="BG719" s="107"/>
      <c r="BH719" s="107"/>
      <c r="BI719" s="107"/>
      <c r="BJ719" s="107">
        <v>997.17156</v>
      </c>
      <c r="BK719" s="107"/>
      <c r="BL719" s="107"/>
      <c r="BM719" s="107"/>
      <c r="BN719" s="107"/>
      <c r="BO719" s="107"/>
      <c r="BP719" s="107"/>
      <c r="BQ719" s="109"/>
      <c r="BR719" s="109"/>
      <c r="BS719" s="109"/>
      <c r="BT719" s="109"/>
      <c r="BU719" s="138"/>
    </row>
    <row r="720" spans="1:73" ht="38.25" customHeight="1" outlineLevel="2">
      <c r="A720" s="35" t="s">
        <v>605</v>
      </c>
      <c r="B720" s="37" t="s">
        <v>43</v>
      </c>
      <c r="C720" s="20" t="s">
        <v>587</v>
      </c>
      <c r="D720" s="218" t="s">
        <v>482</v>
      </c>
      <c r="E720" s="220" t="s">
        <v>2521</v>
      </c>
      <c r="F720" s="108">
        <f t="shared" si="118"/>
        <v>2820.15688</v>
      </c>
      <c r="G720" s="106">
        <f t="shared" si="121"/>
        <v>929.38291</v>
      </c>
      <c r="H720" s="106">
        <f t="shared" si="122"/>
        <v>1890.77397</v>
      </c>
      <c r="I720" s="107"/>
      <c r="J720" s="107"/>
      <c r="K720" s="107">
        <v>235.09382</v>
      </c>
      <c r="L720" s="107">
        <v>117.54693</v>
      </c>
      <c r="M720" s="107"/>
      <c r="N720" s="107"/>
      <c r="O720" s="106">
        <v>173.46556</v>
      </c>
      <c r="P720" s="106">
        <v>7.89785</v>
      </c>
      <c r="Q720" s="106"/>
      <c r="R720" s="106"/>
      <c r="S720" s="106"/>
      <c r="T720" s="106"/>
      <c r="U720" s="106"/>
      <c r="V720" s="106"/>
      <c r="W720" s="106">
        <v>264.97059</v>
      </c>
      <c r="X720" s="106">
        <v>138.33321</v>
      </c>
      <c r="Y720" s="107"/>
      <c r="Z720" s="107"/>
      <c r="AA720" s="159">
        <v>55.10151</v>
      </c>
      <c r="AB720" s="106">
        <v>49.51827</v>
      </c>
      <c r="AC720" s="107"/>
      <c r="AD720" s="107"/>
      <c r="AE720" s="107"/>
      <c r="AF720" s="107"/>
      <c r="AG720" s="107"/>
      <c r="AH720" s="107"/>
      <c r="AI720" s="107"/>
      <c r="AJ720" s="108">
        <v>78.47363999999999</v>
      </c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7"/>
      <c r="AV720" s="107"/>
      <c r="AW720" s="107"/>
      <c r="AX720" s="107"/>
      <c r="AY720" s="106"/>
      <c r="AZ720" s="107"/>
      <c r="BA720" s="107"/>
      <c r="BB720" s="107"/>
      <c r="BC720" s="107">
        <v>200.75143</v>
      </c>
      <c r="BD720" s="107">
        <v>196.87293</v>
      </c>
      <c r="BE720" s="107"/>
      <c r="BF720" s="107"/>
      <c r="BG720" s="107"/>
      <c r="BH720" s="107"/>
      <c r="BI720" s="107"/>
      <c r="BJ720" s="107">
        <v>1302.13114</v>
      </c>
      <c r="BK720" s="107"/>
      <c r="BL720" s="107"/>
      <c r="BM720" s="107"/>
      <c r="BN720" s="107"/>
      <c r="BO720" s="107"/>
      <c r="BP720" s="107"/>
      <c r="BQ720" s="109"/>
      <c r="BR720" s="109"/>
      <c r="BS720" s="109"/>
      <c r="BT720" s="109"/>
      <c r="BU720" s="138"/>
    </row>
    <row r="721" spans="1:73" ht="38.25" customHeight="1" outlineLevel="2">
      <c r="A721" s="35" t="s">
        <v>605</v>
      </c>
      <c r="B721" s="37" t="s">
        <v>893</v>
      </c>
      <c r="C721" s="20" t="s">
        <v>587</v>
      </c>
      <c r="D721" s="218" t="s">
        <v>840</v>
      </c>
      <c r="E721" s="220" t="s">
        <v>2522</v>
      </c>
      <c r="F721" s="108">
        <f t="shared" si="118"/>
        <v>138.25182</v>
      </c>
      <c r="G721" s="106">
        <f t="shared" si="121"/>
        <v>73.89391</v>
      </c>
      <c r="H721" s="106">
        <f t="shared" si="122"/>
        <v>64.35791</v>
      </c>
      <c r="I721" s="107"/>
      <c r="J721" s="107"/>
      <c r="K721" s="107"/>
      <c r="L721" s="107"/>
      <c r="M721" s="107"/>
      <c r="N721" s="107"/>
      <c r="O721" s="106">
        <v>15.61799</v>
      </c>
      <c r="P721" s="106">
        <v>0.68461</v>
      </c>
      <c r="Q721" s="106"/>
      <c r="R721" s="106"/>
      <c r="S721" s="106"/>
      <c r="T721" s="106"/>
      <c r="U721" s="106"/>
      <c r="V721" s="106"/>
      <c r="W721" s="106"/>
      <c r="X721" s="106"/>
      <c r="Y721" s="107"/>
      <c r="Z721" s="107"/>
      <c r="AA721" s="159">
        <v>12.04464</v>
      </c>
      <c r="AB721" s="106">
        <v>11.88439</v>
      </c>
      <c r="AC721" s="107"/>
      <c r="AD721" s="107"/>
      <c r="AE721" s="107"/>
      <c r="AF721" s="107"/>
      <c r="AG721" s="107"/>
      <c r="AH721" s="107"/>
      <c r="AI721" s="107"/>
      <c r="AJ721" s="108">
        <v>6.45264</v>
      </c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7"/>
      <c r="AV721" s="107"/>
      <c r="AW721" s="107"/>
      <c r="AX721" s="107"/>
      <c r="AY721" s="106"/>
      <c r="AZ721" s="107"/>
      <c r="BA721" s="107"/>
      <c r="BB721" s="107"/>
      <c r="BC721" s="107">
        <v>46.23128</v>
      </c>
      <c r="BD721" s="107">
        <v>45.33627</v>
      </c>
      <c r="BE721" s="107"/>
      <c r="BF721" s="107"/>
      <c r="BG721" s="107"/>
      <c r="BH721" s="107"/>
      <c r="BI721" s="107"/>
      <c r="BJ721" s="107"/>
      <c r="BK721" s="107"/>
      <c r="BL721" s="107"/>
      <c r="BM721" s="107"/>
      <c r="BN721" s="107"/>
      <c r="BO721" s="107"/>
      <c r="BP721" s="107"/>
      <c r="BQ721" s="109"/>
      <c r="BR721" s="109"/>
      <c r="BS721" s="109"/>
      <c r="BT721" s="109"/>
      <c r="BU721" s="138"/>
    </row>
    <row r="722" spans="1:73" ht="38.25" customHeight="1" outlineLevel="2">
      <c r="A722" s="35" t="s">
        <v>605</v>
      </c>
      <c r="B722" s="37" t="s">
        <v>1167</v>
      </c>
      <c r="C722" s="20" t="s">
        <v>587</v>
      </c>
      <c r="D722" s="218" t="s">
        <v>483</v>
      </c>
      <c r="E722" s="220" t="s">
        <v>2523</v>
      </c>
      <c r="F722" s="108">
        <f t="shared" si="118"/>
        <v>631.9850200000001</v>
      </c>
      <c r="G722" s="106">
        <f t="shared" si="121"/>
        <v>201.55451</v>
      </c>
      <c r="H722" s="106">
        <f t="shared" si="122"/>
        <v>430.43051</v>
      </c>
      <c r="I722" s="107"/>
      <c r="J722" s="107"/>
      <c r="K722" s="107"/>
      <c r="L722" s="107"/>
      <c r="M722" s="107">
        <v>300.12794</v>
      </c>
      <c r="N722" s="107"/>
      <c r="O722" s="106">
        <v>76.92554</v>
      </c>
      <c r="P722" s="106">
        <v>3.42802</v>
      </c>
      <c r="Q722" s="106"/>
      <c r="R722" s="106"/>
      <c r="S722" s="106"/>
      <c r="T722" s="106"/>
      <c r="U722" s="106"/>
      <c r="V722" s="106"/>
      <c r="W722" s="106"/>
      <c r="X722" s="106"/>
      <c r="Y722" s="107"/>
      <c r="Z722" s="107"/>
      <c r="AA722" s="159">
        <v>28.09374</v>
      </c>
      <c r="AB722" s="106">
        <v>25.7495</v>
      </c>
      <c r="AC722" s="107"/>
      <c r="AD722" s="107"/>
      <c r="AE722" s="107"/>
      <c r="AF722" s="107"/>
      <c r="AG722" s="107"/>
      <c r="AH722" s="107"/>
      <c r="AI722" s="107"/>
      <c r="AJ722" s="108">
        <v>6.45264</v>
      </c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7"/>
      <c r="AV722" s="107"/>
      <c r="AW722" s="107"/>
      <c r="AX722" s="107"/>
      <c r="AY722" s="106"/>
      <c r="AZ722" s="107"/>
      <c r="BA722" s="107"/>
      <c r="BB722" s="107"/>
      <c r="BC722" s="107">
        <v>96.53523</v>
      </c>
      <c r="BD722" s="107">
        <v>94.67241</v>
      </c>
      <c r="BE722" s="107"/>
      <c r="BF722" s="107"/>
      <c r="BG722" s="107"/>
      <c r="BH722" s="107"/>
      <c r="BI722" s="107"/>
      <c r="BJ722" s="107"/>
      <c r="BK722" s="107"/>
      <c r="BL722" s="107"/>
      <c r="BM722" s="107"/>
      <c r="BN722" s="107"/>
      <c r="BO722" s="107"/>
      <c r="BP722" s="107"/>
      <c r="BQ722" s="109"/>
      <c r="BR722" s="109"/>
      <c r="BS722" s="109"/>
      <c r="BT722" s="109"/>
      <c r="BU722" s="138"/>
    </row>
    <row r="723" spans="1:73" ht="38.25" customHeight="1" outlineLevel="2">
      <c r="A723" s="35" t="s">
        <v>605</v>
      </c>
      <c r="B723" s="37" t="s">
        <v>1413</v>
      </c>
      <c r="C723" s="20" t="s">
        <v>587</v>
      </c>
      <c r="D723" s="218" t="s">
        <v>589</v>
      </c>
      <c r="E723" s="220" t="s">
        <v>2524</v>
      </c>
      <c r="F723" s="108">
        <f t="shared" si="118"/>
        <v>104.57012</v>
      </c>
      <c r="G723" s="106">
        <f t="shared" si="121"/>
        <v>75.70676</v>
      </c>
      <c r="H723" s="106">
        <f t="shared" si="122"/>
        <v>28.86336</v>
      </c>
      <c r="I723" s="107"/>
      <c r="J723" s="107"/>
      <c r="K723" s="107">
        <v>55.2291</v>
      </c>
      <c r="L723" s="107">
        <v>8.99677</v>
      </c>
      <c r="M723" s="107"/>
      <c r="N723" s="107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7"/>
      <c r="Z723" s="107"/>
      <c r="AA723" s="159">
        <v>3.24957</v>
      </c>
      <c r="AB723" s="106">
        <v>2.9711</v>
      </c>
      <c r="AC723" s="107"/>
      <c r="AD723" s="107"/>
      <c r="AE723" s="107"/>
      <c r="AF723" s="107"/>
      <c r="AG723" s="107"/>
      <c r="AH723" s="107"/>
      <c r="AI723" s="107"/>
      <c r="AJ723" s="108">
        <v>0</v>
      </c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7"/>
      <c r="AV723" s="107"/>
      <c r="AW723" s="107"/>
      <c r="AX723" s="107"/>
      <c r="AY723" s="106"/>
      <c r="AZ723" s="107"/>
      <c r="BA723" s="107"/>
      <c r="BB723" s="107"/>
      <c r="BC723" s="107">
        <v>17.22809</v>
      </c>
      <c r="BD723" s="107">
        <v>16.89549</v>
      </c>
      <c r="BE723" s="107"/>
      <c r="BF723" s="107"/>
      <c r="BG723" s="107"/>
      <c r="BH723" s="107"/>
      <c r="BI723" s="107"/>
      <c r="BJ723" s="107"/>
      <c r="BK723" s="107"/>
      <c r="BL723" s="107"/>
      <c r="BM723" s="107"/>
      <c r="BN723" s="107"/>
      <c r="BO723" s="107"/>
      <c r="BP723" s="107"/>
      <c r="BQ723" s="109"/>
      <c r="BR723" s="109"/>
      <c r="BS723" s="109"/>
      <c r="BT723" s="109"/>
      <c r="BU723" s="138"/>
    </row>
    <row r="724" spans="1:73" ht="38.25" customHeight="1" outlineLevel="2">
      <c r="A724" s="35" t="s">
        <v>605</v>
      </c>
      <c r="B724" s="37" t="s">
        <v>1414</v>
      </c>
      <c r="C724" s="20" t="s">
        <v>587</v>
      </c>
      <c r="D724" s="218" t="s">
        <v>1404</v>
      </c>
      <c r="E724" s="220" t="s">
        <v>2525</v>
      </c>
      <c r="F724" s="108">
        <f t="shared" si="118"/>
        <v>144.71769</v>
      </c>
      <c r="G724" s="106">
        <f t="shared" si="121"/>
        <v>98.94676</v>
      </c>
      <c r="H724" s="106">
        <f t="shared" si="122"/>
        <v>45.77093</v>
      </c>
      <c r="I724" s="107"/>
      <c r="J724" s="107"/>
      <c r="K724" s="107">
        <v>51.564</v>
      </c>
      <c r="L724" s="107"/>
      <c r="M724" s="107"/>
      <c r="N724" s="107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7"/>
      <c r="Z724" s="107"/>
      <c r="AA724" s="159">
        <v>10.80757</v>
      </c>
      <c r="AB724" s="106">
        <v>9.90365</v>
      </c>
      <c r="AC724" s="107"/>
      <c r="AD724" s="107"/>
      <c r="AE724" s="107"/>
      <c r="AF724" s="107"/>
      <c r="AG724" s="107"/>
      <c r="AH724" s="107"/>
      <c r="AI724" s="107"/>
      <c r="AJ724" s="108">
        <v>0</v>
      </c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7"/>
      <c r="AV724" s="107"/>
      <c r="AW724" s="107"/>
      <c r="AX724" s="107"/>
      <c r="AY724" s="106"/>
      <c r="AZ724" s="107"/>
      <c r="BA724" s="107"/>
      <c r="BB724" s="107"/>
      <c r="BC724" s="107">
        <v>36.57519</v>
      </c>
      <c r="BD724" s="107">
        <v>35.86728</v>
      </c>
      <c r="BE724" s="107"/>
      <c r="BF724" s="107"/>
      <c r="BG724" s="107"/>
      <c r="BH724" s="107"/>
      <c r="BI724" s="107"/>
      <c r="BJ724" s="107"/>
      <c r="BK724" s="107"/>
      <c r="BL724" s="107"/>
      <c r="BM724" s="107"/>
      <c r="BN724" s="107"/>
      <c r="BO724" s="107"/>
      <c r="BP724" s="107"/>
      <c r="BQ724" s="109"/>
      <c r="BR724" s="109"/>
      <c r="BS724" s="109"/>
      <c r="BT724" s="109"/>
      <c r="BU724" s="138"/>
    </row>
    <row r="725" spans="1:73" ht="38.25" customHeight="1" outlineLevel="2">
      <c r="A725" s="35" t="s">
        <v>605</v>
      </c>
      <c r="B725" s="37" t="s">
        <v>573</v>
      </c>
      <c r="C725" s="20" t="s">
        <v>587</v>
      </c>
      <c r="D725" s="218" t="s">
        <v>319</v>
      </c>
      <c r="E725" s="220" t="s">
        <v>2526</v>
      </c>
      <c r="F725" s="108">
        <f t="shared" si="118"/>
        <v>886.9389799999999</v>
      </c>
      <c r="G725" s="106">
        <f t="shared" si="121"/>
        <v>255.71188999999998</v>
      </c>
      <c r="H725" s="106">
        <f t="shared" si="122"/>
        <v>631.22709</v>
      </c>
      <c r="I725" s="107"/>
      <c r="J725" s="107"/>
      <c r="K725" s="107"/>
      <c r="L725" s="107"/>
      <c r="M725" s="107"/>
      <c r="N725" s="107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7"/>
      <c r="Z725" s="107"/>
      <c r="AA725" s="159">
        <v>90.3985</v>
      </c>
      <c r="AB725" s="106">
        <v>87.15216</v>
      </c>
      <c r="AC725" s="107"/>
      <c r="AD725" s="107"/>
      <c r="AE725" s="107"/>
      <c r="AF725" s="107"/>
      <c r="AG725" s="107"/>
      <c r="AH725" s="107"/>
      <c r="AI725" s="107"/>
      <c r="AJ725" s="108">
        <v>67.43736</v>
      </c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7"/>
      <c r="AV725" s="107"/>
      <c r="AW725" s="107"/>
      <c r="AX725" s="107"/>
      <c r="AY725" s="106"/>
      <c r="AZ725" s="107"/>
      <c r="BA725" s="107"/>
      <c r="BB725" s="107"/>
      <c r="BC725" s="107">
        <v>165.31339</v>
      </c>
      <c r="BD725" s="107">
        <v>162.11502</v>
      </c>
      <c r="BE725" s="107"/>
      <c r="BF725" s="107"/>
      <c r="BG725" s="107"/>
      <c r="BH725" s="107"/>
      <c r="BI725" s="107"/>
      <c r="BJ725" s="107">
        <v>314.52255</v>
      </c>
      <c r="BK725" s="107"/>
      <c r="BL725" s="107"/>
      <c r="BM725" s="107"/>
      <c r="BN725" s="107"/>
      <c r="BO725" s="107"/>
      <c r="BP725" s="107"/>
      <c r="BQ725" s="109"/>
      <c r="BR725" s="109"/>
      <c r="BS725" s="109"/>
      <c r="BT725" s="109"/>
      <c r="BU725" s="138"/>
    </row>
    <row r="726" spans="1:73" ht="38.25" customHeight="1" outlineLevel="2">
      <c r="A726" s="35" t="s">
        <v>605</v>
      </c>
      <c r="B726" s="37" t="s">
        <v>1771</v>
      </c>
      <c r="C726" s="20" t="s">
        <v>587</v>
      </c>
      <c r="D726" s="218" t="s">
        <v>1813</v>
      </c>
      <c r="E726" s="220" t="s">
        <v>2527</v>
      </c>
      <c r="F726" s="108">
        <f t="shared" si="118"/>
        <v>1693.059</v>
      </c>
      <c r="G726" s="106">
        <f t="shared" si="121"/>
        <v>1498.5</v>
      </c>
      <c r="H726" s="106">
        <f t="shared" si="122"/>
        <v>194.559</v>
      </c>
      <c r="I726" s="107"/>
      <c r="J726" s="107"/>
      <c r="K726" s="107"/>
      <c r="L726" s="107"/>
      <c r="M726" s="107"/>
      <c r="N726" s="107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7"/>
      <c r="Z726" s="107"/>
      <c r="AA726" s="159"/>
      <c r="AB726" s="106"/>
      <c r="AC726" s="107"/>
      <c r="AD726" s="107"/>
      <c r="AE726" s="107"/>
      <c r="AF726" s="107"/>
      <c r="AG726" s="107"/>
      <c r="AH726" s="107"/>
      <c r="AI726" s="107"/>
      <c r="AJ726" s="108">
        <v>0</v>
      </c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7"/>
      <c r="AV726" s="107"/>
      <c r="AW726" s="107"/>
      <c r="AX726" s="107"/>
      <c r="AY726" s="106"/>
      <c r="AZ726" s="107"/>
      <c r="BA726" s="107"/>
      <c r="BB726" s="107"/>
      <c r="BC726" s="107"/>
      <c r="BD726" s="107"/>
      <c r="BE726" s="107"/>
      <c r="BF726" s="107"/>
      <c r="BG726" s="107"/>
      <c r="BH726" s="107"/>
      <c r="BI726" s="107"/>
      <c r="BJ726" s="107"/>
      <c r="BK726" s="107"/>
      <c r="BL726" s="107"/>
      <c r="BM726" s="107"/>
      <c r="BN726" s="107"/>
      <c r="BO726" s="107"/>
      <c r="BP726" s="107"/>
      <c r="BQ726" s="109">
        <v>194.559</v>
      </c>
      <c r="BR726" s="109">
        <v>1498.5</v>
      </c>
      <c r="BS726" s="109"/>
      <c r="BT726" s="109"/>
      <c r="BU726" s="138"/>
    </row>
    <row r="727" spans="1:73" ht="38.25" customHeight="1" outlineLevel="2">
      <c r="A727" s="35" t="s">
        <v>605</v>
      </c>
      <c r="B727" s="37" t="s">
        <v>271</v>
      </c>
      <c r="C727" s="20" t="s">
        <v>587</v>
      </c>
      <c r="D727" s="218" t="s">
        <v>1019</v>
      </c>
      <c r="E727" s="220" t="s">
        <v>2528</v>
      </c>
      <c r="F727" s="108">
        <f t="shared" si="118"/>
        <v>117.86802999999999</v>
      </c>
      <c r="G727" s="106">
        <f t="shared" si="121"/>
        <v>111.28712999999999</v>
      </c>
      <c r="H727" s="106">
        <f t="shared" si="122"/>
        <v>6.5809</v>
      </c>
      <c r="I727" s="107"/>
      <c r="J727" s="107"/>
      <c r="K727" s="107">
        <v>38.26695</v>
      </c>
      <c r="L727" s="107">
        <v>3.35534</v>
      </c>
      <c r="M727" s="107"/>
      <c r="N727" s="107"/>
      <c r="O727" s="106">
        <v>73.02018</v>
      </c>
      <c r="P727" s="106">
        <v>3.22556</v>
      </c>
      <c r="Q727" s="106"/>
      <c r="R727" s="106"/>
      <c r="S727" s="106"/>
      <c r="T727" s="106"/>
      <c r="U727" s="106"/>
      <c r="V727" s="106"/>
      <c r="W727" s="106"/>
      <c r="X727" s="106"/>
      <c r="Y727" s="107"/>
      <c r="Z727" s="107"/>
      <c r="AA727" s="159"/>
      <c r="AB727" s="106"/>
      <c r="AC727" s="107"/>
      <c r="AD727" s="107"/>
      <c r="AE727" s="107"/>
      <c r="AF727" s="107"/>
      <c r="AG727" s="107"/>
      <c r="AH727" s="107"/>
      <c r="AI727" s="107"/>
      <c r="AJ727" s="108">
        <v>0</v>
      </c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7"/>
      <c r="AV727" s="107"/>
      <c r="AW727" s="107"/>
      <c r="AX727" s="107"/>
      <c r="AY727" s="106"/>
      <c r="AZ727" s="107"/>
      <c r="BA727" s="107"/>
      <c r="BB727" s="107"/>
      <c r="BC727" s="107">
        <f>52.74877-52.74877</f>
        <v>0</v>
      </c>
      <c r="BD727" s="107"/>
      <c r="BE727" s="107"/>
      <c r="BF727" s="107"/>
      <c r="BG727" s="107"/>
      <c r="BH727" s="107"/>
      <c r="BI727" s="107"/>
      <c r="BJ727" s="107"/>
      <c r="BK727" s="107"/>
      <c r="BL727" s="107"/>
      <c r="BM727" s="107"/>
      <c r="BN727" s="107"/>
      <c r="BO727" s="107"/>
      <c r="BP727" s="107"/>
      <c r="BQ727" s="109"/>
      <c r="BR727" s="109"/>
      <c r="BS727" s="109"/>
      <c r="BT727" s="109"/>
      <c r="BU727" s="138"/>
    </row>
    <row r="728" spans="1:73" ht="38.25" customHeight="1" outlineLevel="2">
      <c r="A728" s="35" t="s">
        <v>605</v>
      </c>
      <c r="B728" s="37" t="s">
        <v>574</v>
      </c>
      <c r="C728" s="20" t="s">
        <v>587</v>
      </c>
      <c r="D728" s="218" t="s">
        <v>1025</v>
      </c>
      <c r="E728" s="220" t="s">
        <v>2529</v>
      </c>
      <c r="F728" s="108">
        <f t="shared" si="118"/>
        <v>211.52975</v>
      </c>
      <c r="G728" s="106">
        <f t="shared" si="121"/>
        <v>106.79904</v>
      </c>
      <c r="H728" s="106">
        <f t="shared" si="122"/>
        <v>104.73071</v>
      </c>
      <c r="I728" s="107"/>
      <c r="J728" s="107"/>
      <c r="K728" s="107"/>
      <c r="L728" s="107"/>
      <c r="M728" s="107"/>
      <c r="N728" s="107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7"/>
      <c r="Z728" s="107"/>
      <c r="AA728" s="159"/>
      <c r="AB728" s="106"/>
      <c r="AC728" s="107"/>
      <c r="AD728" s="107"/>
      <c r="AE728" s="107"/>
      <c r="AF728" s="107"/>
      <c r="AG728" s="107"/>
      <c r="AH728" s="107"/>
      <c r="AI728" s="107"/>
      <c r="AJ728" s="108">
        <v>0</v>
      </c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7"/>
      <c r="AV728" s="107"/>
      <c r="AW728" s="107"/>
      <c r="AX728" s="107"/>
      <c r="AY728" s="106"/>
      <c r="AZ728" s="107"/>
      <c r="BA728" s="107"/>
      <c r="BB728" s="107"/>
      <c r="BC728" s="107">
        <v>106.79904</v>
      </c>
      <c r="BD728" s="107">
        <v>104.73071</v>
      </c>
      <c r="BE728" s="107"/>
      <c r="BF728" s="107"/>
      <c r="BG728" s="107"/>
      <c r="BH728" s="107"/>
      <c r="BI728" s="107"/>
      <c r="BJ728" s="107"/>
      <c r="BK728" s="107"/>
      <c r="BL728" s="107"/>
      <c r="BM728" s="107"/>
      <c r="BN728" s="107"/>
      <c r="BO728" s="107"/>
      <c r="BP728" s="107"/>
      <c r="BQ728" s="109"/>
      <c r="BR728" s="109"/>
      <c r="BS728" s="109"/>
      <c r="BT728" s="109"/>
      <c r="BU728" s="138"/>
    </row>
    <row r="729" spans="1:73" ht="38.25" customHeight="1" outlineLevel="2">
      <c r="A729" s="35" t="s">
        <v>605</v>
      </c>
      <c r="B729" s="37" t="s">
        <v>1384</v>
      </c>
      <c r="C729" s="20" t="s">
        <v>587</v>
      </c>
      <c r="D729" s="218" t="s">
        <v>1026</v>
      </c>
      <c r="E729" s="220" t="s">
        <v>2530</v>
      </c>
      <c r="F729" s="108">
        <f t="shared" si="118"/>
        <v>118.1373</v>
      </c>
      <c r="G729" s="106">
        <f t="shared" si="121"/>
        <v>41.57464</v>
      </c>
      <c r="H729" s="106">
        <f t="shared" si="122"/>
        <v>76.56266</v>
      </c>
      <c r="I729" s="107"/>
      <c r="J729" s="107"/>
      <c r="K729" s="107"/>
      <c r="L729" s="107"/>
      <c r="M729" s="107"/>
      <c r="N729" s="107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7"/>
      <c r="Z729" s="107"/>
      <c r="AA729" s="159">
        <v>14.1726</v>
      </c>
      <c r="AB729" s="106">
        <v>13.07282</v>
      </c>
      <c r="AC729" s="107"/>
      <c r="AD729" s="107"/>
      <c r="AE729" s="107"/>
      <c r="AF729" s="107"/>
      <c r="AG729" s="107"/>
      <c r="AH729" s="107"/>
      <c r="AI729" s="107"/>
      <c r="AJ729" s="108">
        <v>0</v>
      </c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7"/>
      <c r="AV729" s="107"/>
      <c r="AW729" s="107"/>
      <c r="AX729" s="107"/>
      <c r="AY729" s="106"/>
      <c r="AZ729" s="107"/>
      <c r="BA729" s="107"/>
      <c r="BB729" s="107"/>
      <c r="BC729" s="107">
        <v>27.40204</v>
      </c>
      <c r="BD729" s="107">
        <v>26.87178</v>
      </c>
      <c r="BE729" s="107"/>
      <c r="BF729" s="107"/>
      <c r="BG729" s="107"/>
      <c r="BH729" s="107"/>
      <c r="BI729" s="107"/>
      <c r="BJ729" s="107">
        <v>36.61806</v>
      </c>
      <c r="BK729" s="107"/>
      <c r="BL729" s="107"/>
      <c r="BM729" s="107"/>
      <c r="BN729" s="107"/>
      <c r="BO729" s="107"/>
      <c r="BP729" s="107"/>
      <c r="BQ729" s="109"/>
      <c r="BR729" s="109"/>
      <c r="BS729" s="109"/>
      <c r="BT729" s="109"/>
      <c r="BU729" s="138"/>
    </row>
    <row r="730" spans="1:73" ht="38.25" customHeight="1" outlineLevel="2">
      <c r="A730" s="35" t="s">
        <v>605</v>
      </c>
      <c r="B730" s="37" t="s">
        <v>1383</v>
      </c>
      <c r="C730" s="20" t="s">
        <v>587</v>
      </c>
      <c r="D730" s="218" t="s">
        <v>1027</v>
      </c>
      <c r="E730" s="220" t="s">
        <v>2531</v>
      </c>
      <c r="F730" s="108">
        <f t="shared" si="118"/>
        <v>66.40594999999999</v>
      </c>
      <c r="G730" s="106">
        <f t="shared" si="121"/>
        <v>33.52753</v>
      </c>
      <c r="H730" s="106">
        <f t="shared" si="122"/>
        <v>32.87842</v>
      </c>
      <c r="I730" s="107"/>
      <c r="J730" s="107"/>
      <c r="K730" s="107"/>
      <c r="L730" s="107"/>
      <c r="M730" s="107"/>
      <c r="N730" s="107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7"/>
      <c r="Z730" s="107"/>
      <c r="AA730" s="159"/>
      <c r="AB730" s="106"/>
      <c r="AC730" s="107"/>
      <c r="AD730" s="107"/>
      <c r="AE730" s="107"/>
      <c r="AF730" s="107"/>
      <c r="AG730" s="107"/>
      <c r="AH730" s="107"/>
      <c r="AI730" s="107"/>
      <c r="AJ730" s="108">
        <v>0</v>
      </c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7"/>
      <c r="AV730" s="107"/>
      <c r="AW730" s="107"/>
      <c r="AX730" s="107"/>
      <c r="AY730" s="106"/>
      <c r="AZ730" s="107"/>
      <c r="BA730" s="107"/>
      <c r="BB730" s="107"/>
      <c r="BC730" s="107">
        <v>33.52753</v>
      </c>
      <c r="BD730" s="107">
        <v>32.87842</v>
      </c>
      <c r="BE730" s="107"/>
      <c r="BF730" s="107"/>
      <c r="BG730" s="107"/>
      <c r="BH730" s="107"/>
      <c r="BI730" s="107"/>
      <c r="BJ730" s="107"/>
      <c r="BK730" s="107"/>
      <c r="BL730" s="107"/>
      <c r="BM730" s="107"/>
      <c r="BN730" s="107"/>
      <c r="BO730" s="107"/>
      <c r="BP730" s="107"/>
      <c r="BQ730" s="109"/>
      <c r="BR730" s="109"/>
      <c r="BS730" s="109"/>
      <c r="BT730" s="109"/>
      <c r="BU730" s="138"/>
    </row>
    <row r="731" spans="1:73" ht="38.25" customHeight="1" outlineLevel="2">
      <c r="A731" s="35" t="s">
        <v>605</v>
      </c>
      <c r="B731" s="37" t="s">
        <v>575</v>
      </c>
      <c r="C731" s="20" t="s">
        <v>587</v>
      </c>
      <c r="D731" s="218" t="s">
        <v>54</v>
      </c>
      <c r="E731" s="220" t="s">
        <v>2532</v>
      </c>
      <c r="F731" s="108">
        <f t="shared" si="118"/>
        <v>559.61437</v>
      </c>
      <c r="G731" s="106">
        <f t="shared" si="121"/>
        <v>359.80415</v>
      </c>
      <c r="H731" s="106">
        <f t="shared" si="122"/>
        <v>199.81022000000002</v>
      </c>
      <c r="I731" s="107"/>
      <c r="J731" s="107"/>
      <c r="K731" s="107"/>
      <c r="L731" s="107"/>
      <c r="M731" s="107"/>
      <c r="N731" s="107"/>
      <c r="O731" s="106">
        <v>105.95985</v>
      </c>
      <c r="P731" s="106">
        <v>4.64482</v>
      </c>
      <c r="Q731" s="106"/>
      <c r="R731" s="106"/>
      <c r="S731" s="106"/>
      <c r="T731" s="106"/>
      <c r="U731" s="106"/>
      <c r="V731" s="106"/>
      <c r="W731" s="106">
        <v>115.15461</v>
      </c>
      <c r="X731" s="106">
        <v>60.11877</v>
      </c>
      <c r="Y731" s="107"/>
      <c r="Z731" s="107"/>
      <c r="AA731" s="159">
        <v>39.3596</v>
      </c>
      <c r="AB731" s="106">
        <v>37.63389</v>
      </c>
      <c r="AC731" s="107"/>
      <c r="AD731" s="107"/>
      <c r="AE731" s="107"/>
      <c r="AF731" s="107"/>
      <c r="AG731" s="107"/>
      <c r="AH731" s="107"/>
      <c r="AI731" s="107"/>
      <c r="AJ731" s="108">
        <v>0</v>
      </c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7"/>
      <c r="AV731" s="107"/>
      <c r="AW731" s="107"/>
      <c r="AX731" s="107"/>
      <c r="AY731" s="106"/>
      <c r="AZ731" s="107"/>
      <c r="BA731" s="107"/>
      <c r="BB731" s="107"/>
      <c r="BC731" s="107">
        <v>99.33009</v>
      </c>
      <c r="BD731" s="107">
        <v>97.41274</v>
      </c>
      <c r="BE731" s="107"/>
      <c r="BF731" s="107"/>
      <c r="BG731" s="107"/>
      <c r="BH731" s="107"/>
      <c r="BI731" s="107"/>
      <c r="BJ731" s="107"/>
      <c r="BK731" s="107"/>
      <c r="BL731" s="107"/>
      <c r="BM731" s="107"/>
      <c r="BN731" s="107"/>
      <c r="BO731" s="107"/>
      <c r="BP731" s="107"/>
      <c r="BQ731" s="109"/>
      <c r="BR731" s="109"/>
      <c r="BS731" s="109"/>
      <c r="BT731" s="109"/>
      <c r="BU731" s="138"/>
    </row>
    <row r="732" spans="1:73" ht="38.25" customHeight="1" outlineLevel="2">
      <c r="A732" s="35" t="s">
        <v>605</v>
      </c>
      <c r="B732" s="37" t="s">
        <v>576</v>
      </c>
      <c r="C732" s="20" t="s">
        <v>587</v>
      </c>
      <c r="D732" s="218" t="s">
        <v>55</v>
      </c>
      <c r="E732" s="220" t="s">
        <v>2532</v>
      </c>
      <c r="F732" s="108">
        <f t="shared" si="118"/>
        <v>2518.27963</v>
      </c>
      <c r="G732" s="106">
        <f t="shared" si="121"/>
        <v>949.7321100000001</v>
      </c>
      <c r="H732" s="106">
        <f t="shared" si="122"/>
        <v>1568.54752</v>
      </c>
      <c r="I732" s="107"/>
      <c r="J732" s="107"/>
      <c r="K732" s="107">
        <v>350.12585</v>
      </c>
      <c r="L732" s="107">
        <v>175.06294</v>
      </c>
      <c r="M732" s="107">
        <v>242.92006</v>
      </c>
      <c r="N732" s="107"/>
      <c r="O732" s="106">
        <v>154.99724</v>
      </c>
      <c r="P732" s="106">
        <v>7.07843</v>
      </c>
      <c r="Q732" s="106"/>
      <c r="R732" s="106"/>
      <c r="S732" s="106"/>
      <c r="T732" s="106"/>
      <c r="U732" s="106"/>
      <c r="V732" s="106"/>
      <c r="W732" s="106"/>
      <c r="X732" s="106"/>
      <c r="Y732" s="107">
        <v>15.2</v>
      </c>
      <c r="Z732" s="107">
        <v>39.93</v>
      </c>
      <c r="AA732" s="159">
        <v>153.52745</v>
      </c>
      <c r="AB732" s="106">
        <v>149.54518</v>
      </c>
      <c r="AC732" s="107"/>
      <c r="AD732" s="107"/>
      <c r="AE732" s="107"/>
      <c r="AF732" s="107"/>
      <c r="AG732" s="107"/>
      <c r="AH732" s="107"/>
      <c r="AI732" s="107"/>
      <c r="AJ732" s="108">
        <v>0</v>
      </c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7"/>
      <c r="AV732" s="107"/>
      <c r="AW732" s="107"/>
      <c r="AX732" s="107"/>
      <c r="AY732" s="106"/>
      <c r="AZ732" s="107"/>
      <c r="BA732" s="107"/>
      <c r="BB732" s="107"/>
      <c r="BC732" s="107">
        <v>275.88157</v>
      </c>
      <c r="BD732" s="107">
        <v>270.54226</v>
      </c>
      <c r="BE732" s="107"/>
      <c r="BF732" s="107"/>
      <c r="BG732" s="107"/>
      <c r="BH732" s="107"/>
      <c r="BI732" s="107"/>
      <c r="BJ732" s="107">
        <v>683.46865</v>
      </c>
      <c r="BK732" s="107"/>
      <c r="BL732" s="107"/>
      <c r="BM732" s="107"/>
      <c r="BN732" s="107"/>
      <c r="BO732" s="107"/>
      <c r="BP732" s="107"/>
      <c r="BQ732" s="109"/>
      <c r="BR732" s="109"/>
      <c r="BS732" s="109"/>
      <c r="BT732" s="109"/>
      <c r="BU732" s="138"/>
    </row>
    <row r="733" spans="1:73" ht="38.25" customHeight="1" outlineLevel="2">
      <c r="A733" s="35" t="s">
        <v>605</v>
      </c>
      <c r="B733" s="37" t="s">
        <v>577</v>
      </c>
      <c r="C733" s="20" t="s">
        <v>587</v>
      </c>
      <c r="D733" s="218" t="s">
        <v>436</v>
      </c>
      <c r="E733" s="220" t="s">
        <v>2533</v>
      </c>
      <c r="F733" s="108">
        <f t="shared" si="118"/>
        <v>369.21499</v>
      </c>
      <c r="G733" s="106">
        <f t="shared" si="121"/>
        <v>232.96418</v>
      </c>
      <c r="H733" s="106">
        <f t="shared" si="122"/>
        <v>136.25081</v>
      </c>
      <c r="I733" s="107"/>
      <c r="J733" s="107"/>
      <c r="K733" s="107"/>
      <c r="L733" s="107"/>
      <c r="M733" s="107"/>
      <c r="N733" s="107"/>
      <c r="O733" s="106">
        <v>80.06163</v>
      </c>
      <c r="P733" s="106">
        <v>3.56379</v>
      </c>
      <c r="Q733" s="106"/>
      <c r="R733" s="106"/>
      <c r="S733" s="106"/>
      <c r="T733" s="106"/>
      <c r="U733" s="106"/>
      <c r="V733" s="106"/>
      <c r="W733" s="106">
        <v>63.49587</v>
      </c>
      <c r="X733" s="106">
        <v>33.14929</v>
      </c>
      <c r="Y733" s="107"/>
      <c r="Z733" s="107"/>
      <c r="AA733" s="159">
        <v>31.43323</v>
      </c>
      <c r="AB733" s="106">
        <v>26.73987</v>
      </c>
      <c r="AC733" s="107"/>
      <c r="AD733" s="107"/>
      <c r="AE733" s="107"/>
      <c r="AF733" s="107"/>
      <c r="AG733" s="107"/>
      <c r="AH733" s="107"/>
      <c r="AI733" s="107"/>
      <c r="AJ733" s="108">
        <v>15.94492</v>
      </c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7"/>
      <c r="AV733" s="107"/>
      <c r="AW733" s="107"/>
      <c r="AX733" s="107"/>
      <c r="AY733" s="106"/>
      <c r="AZ733" s="107"/>
      <c r="BA733" s="107"/>
      <c r="BB733" s="107"/>
      <c r="BC733" s="107">
        <v>57.97345</v>
      </c>
      <c r="BD733" s="107">
        <v>56.85294</v>
      </c>
      <c r="BE733" s="107"/>
      <c r="BF733" s="107"/>
      <c r="BG733" s="107"/>
      <c r="BH733" s="107"/>
      <c r="BI733" s="107"/>
      <c r="BJ733" s="107"/>
      <c r="BK733" s="107"/>
      <c r="BL733" s="107"/>
      <c r="BM733" s="107"/>
      <c r="BN733" s="107"/>
      <c r="BO733" s="107"/>
      <c r="BP733" s="107"/>
      <c r="BQ733" s="109"/>
      <c r="BR733" s="109"/>
      <c r="BS733" s="109"/>
      <c r="BT733" s="109"/>
      <c r="BU733" s="138"/>
    </row>
    <row r="734" spans="1:73" ht="38.25" customHeight="1" outlineLevel="2">
      <c r="A734" s="35" t="s">
        <v>605</v>
      </c>
      <c r="B734" s="37" t="s">
        <v>593</v>
      </c>
      <c r="C734" s="20" t="s">
        <v>587</v>
      </c>
      <c r="D734" s="218" t="s">
        <v>56</v>
      </c>
      <c r="E734" s="220" t="s">
        <v>2534</v>
      </c>
      <c r="F734" s="108">
        <f t="shared" si="118"/>
        <v>946.5458899999999</v>
      </c>
      <c r="G734" s="106">
        <f t="shared" si="121"/>
        <v>244.36246</v>
      </c>
      <c r="H734" s="106">
        <f t="shared" si="122"/>
        <v>702.1834299999999</v>
      </c>
      <c r="I734" s="107"/>
      <c r="J734" s="107"/>
      <c r="K734" s="107"/>
      <c r="L734" s="107"/>
      <c r="M734" s="107">
        <v>154.59079</v>
      </c>
      <c r="N734" s="107"/>
      <c r="O734" s="106">
        <v>93.41798</v>
      </c>
      <c r="P734" s="106">
        <v>4.15773</v>
      </c>
      <c r="Q734" s="106"/>
      <c r="R734" s="106"/>
      <c r="S734" s="106"/>
      <c r="T734" s="106"/>
      <c r="U734" s="106"/>
      <c r="V734" s="106"/>
      <c r="W734" s="106"/>
      <c r="X734" s="106"/>
      <c r="Y734" s="107"/>
      <c r="Z734" s="107"/>
      <c r="AA734" s="159">
        <v>32.63464</v>
      </c>
      <c r="AB734" s="106">
        <v>29.71096</v>
      </c>
      <c r="AC734" s="107"/>
      <c r="AD734" s="107"/>
      <c r="AE734" s="107"/>
      <c r="AF734" s="107"/>
      <c r="AG734" s="107"/>
      <c r="AH734" s="107"/>
      <c r="AI734" s="107"/>
      <c r="AJ734" s="108">
        <v>0</v>
      </c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7"/>
      <c r="AV734" s="107"/>
      <c r="AW734" s="107"/>
      <c r="AX734" s="107"/>
      <c r="AY734" s="106"/>
      <c r="AZ734" s="107"/>
      <c r="BA734" s="107"/>
      <c r="BB734" s="107"/>
      <c r="BC734" s="107">
        <v>118.30984</v>
      </c>
      <c r="BD734" s="107">
        <v>116.0264</v>
      </c>
      <c r="BE734" s="107"/>
      <c r="BF734" s="107"/>
      <c r="BG734" s="107"/>
      <c r="BH734" s="107"/>
      <c r="BI734" s="107"/>
      <c r="BJ734" s="107">
        <v>202.34715</v>
      </c>
      <c r="BK734" s="107"/>
      <c r="BL734" s="107"/>
      <c r="BM734" s="107">
        <v>195.3504</v>
      </c>
      <c r="BN734" s="107"/>
      <c r="BO734" s="107"/>
      <c r="BP734" s="107"/>
      <c r="BQ734" s="109"/>
      <c r="BR734" s="109"/>
      <c r="BS734" s="109"/>
      <c r="BT734" s="109"/>
      <c r="BU734" s="138"/>
    </row>
    <row r="735" spans="1:73" ht="38.25" customHeight="1" outlineLevel="2">
      <c r="A735" s="35" t="s">
        <v>605</v>
      </c>
      <c r="B735" s="37" t="s">
        <v>1046</v>
      </c>
      <c r="C735" s="20" t="s">
        <v>587</v>
      </c>
      <c r="D735" s="218" t="s">
        <v>537</v>
      </c>
      <c r="E735" s="220" t="s">
        <v>2535</v>
      </c>
      <c r="F735" s="108">
        <f t="shared" si="118"/>
        <v>613.5101199999999</v>
      </c>
      <c r="G735" s="106">
        <f t="shared" si="121"/>
        <v>357.67837</v>
      </c>
      <c r="H735" s="106">
        <f t="shared" si="122"/>
        <v>255.83175</v>
      </c>
      <c r="I735" s="107"/>
      <c r="J735" s="107"/>
      <c r="K735" s="107"/>
      <c r="L735" s="107"/>
      <c r="M735" s="107"/>
      <c r="N735" s="107"/>
      <c r="O735" s="106">
        <v>87.80964</v>
      </c>
      <c r="P735" s="106">
        <v>3.90907</v>
      </c>
      <c r="Q735" s="106"/>
      <c r="R735" s="106"/>
      <c r="S735" s="106"/>
      <c r="T735" s="106"/>
      <c r="U735" s="106"/>
      <c r="V735" s="106"/>
      <c r="W735" s="106">
        <v>122.10302</v>
      </c>
      <c r="X735" s="106">
        <v>63.74632</v>
      </c>
      <c r="Y735" s="107">
        <v>7.6</v>
      </c>
      <c r="Z735" s="107">
        <v>19.965</v>
      </c>
      <c r="AA735" s="159">
        <v>44.29593</v>
      </c>
      <c r="AB735" s="106">
        <v>39.61462</v>
      </c>
      <c r="AC735" s="107"/>
      <c r="AD735" s="107"/>
      <c r="AE735" s="107"/>
      <c r="AF735" s="107"/>
      <c r="AG735" s="107"/>
      <c r="AH735" s="107"/>
      <c r="AI735" s="107"/>
      <c r="AJ735" s="108">
        <v>34.57844</v>
      </c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7"/>
      <c r="AV735" s="107"/>
      <c r="AW735" s="107"/>
      <c r="AX735" s="107"/>
      <c r="AY735" s="106"/>
      <c r="AZ735" s="107"/>
      <c r="BA735" s="107"/>
      <c r="BB735" s="107"/>
      <c r="BC735" s="107">
        <v>95.86978</v>
      </c>
      <c r="BD735" s="107">
        <v>94.0183</v>
      </c>
      <c r="BE735" s="107"/>
      <c r="BF735" s="107"/>
      <c r="BG735" s="107"/>
      <c r="BH735" s="107"/>
      <c r="BI735" s="107"/>
      <c r="BJ735" s="107"/>
      <c r="BK735" s="107"/>
      <c r="BL735" s="107"/>
      <c r="BM735" s="107"/>
      <c r="BN735" s="107"/>
      <c r="BO735" s="107"/>
      <c r="BP735" s="107"/>
      <c r="BQ735" s="109"/>
      <c r="BR735" s="109"/>
      <c r="BS735" s="109"/>
      <c r="BT735" s="109"/>
      <c r="BU735" s="138"/>
    </row>
    <row r="736" spans="1:73" ht="38.25" customHeight="1" outlineLevel="2">
      <c r="A736" s="35" t="s">
        <v>605</v>
      </c>
      <c r="B736" s="37" t="s">
        <v>1713</v>
      </c>
      <c r="C736" s="20" t="s">
        <v>587</v>
      </c>
      <c r="D736" s="218" t="s">
        <v>1024</v>
      </c>
      <c r="E736" s="220" t="s">
        <v>2536</v>
      </c>
      <c r="F736" s="108">
        <f t="shared" si="118"/>
        <v>1125.46489</v>
      </c>
      <c r="G736" s="106">
        <f t="shared" si="121"/>
        <v>220.41187</v>
      </c>
      <c r="H736" s="106">
        <f t="shared" si="122"/>
        <v>905.0530200000001</v>
      </c>
      <c r="I736" s="107"/>
      <c r="J736" s="107"/>
      <c r="K736" s="107">
        <v>99.6698</v>
      </c>
      <c r="L736" s="107">
        <v>33.50929</v>
      </c>
      <c r="M736" s="107"/>
      <c r="N736" s="107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7">
        <v>7.6</v>
      </c>
      <c r="Z736" s="107">
        <v>19.965</v>
      </c>
      <c r="AA736" s="159">
        <v>39.81299</v>
      </c>
      <c r="AB736" s="106">
        <v>35.25701</v>
      </c>
      <c r="AC736" s="107"/>
      <c r="AD736" s="107"/>
      <c r="AE736" s="107"/>
      <c r="AF736" s="107"/>
      <c r="AG736" s="107"/>
      <c r="AH736" s="107"/>
      <c r="AI736" s="107"/>
      <c r="AJ736" s="108">
        <v>0</v>
      </c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7"/>
      <c r="AV736" s="107"/>
      <c r="AW736" s="107"/>
      <c r="AX736" s="107"/>
      <c r="AY736" s="106"/>
      <c r="AZ736" s="107"/>
      <c r="BA736" s="107"/>
      <c r="BB736" s="107"/>
      <c r="BC736" s="107">
        <v>73.32908</v>
      </c>
      <c r="BD736" s="107">
        <v>71.90545</v>
      </c>
      <c r="BE736" s="107"/>
      <c r="BF736" s="107"/>
      <c r="BG736" s="107"/>
      <c r="BH736" s="107"/>
      <c r="BI736" s="107"/>
      <c r="BJ736" s="107">
        <v>744.41627</v>
      </c>
      <c r="BK736" s="107"/>
      <c r="BL736" s="107"/>
      <c r="BM736" s="107"/>
      <c r="BN736" s="107"/>
      <c r="BO736" s="107"/>
      <c r="BP736" s="107"/>
      <c r="BQ736" s="109"/>
      <c r="BR736" s="109"/>
      <c r="BS736" s="109"/>
      <c r="BT736" s="109"/>
      <c r="BU736" s="138"/>
    </row>
    <row r="737" spans="1:73" ht="38.25" customHeight="1" outlineLevel="2">
      <c r="A737" s="35" t="s">
        <v>605</v>
      </c>
      <c r="B737" s="37" t="s">
        <v>268</v>
      </c>
      <c r="C737" s="20" t="s">
        <v>587</v>
      </c>
      <c r="D737" s="218" t="s">
        <v>945</v>
      </c>
      <c r="E737" s="220" t="s">
        <v>2537</v>
      </c>
      <c r="F737" s="108">
        <f t="shared" si="118"/>
        <v>546.96641</v>
      </c>
      <c r="G737" s="106">
        <f t="shared" si="121"/>
        <v>355.37689</v>
      </c>
      <c r="H737" s="106">
        <f t="shared" si="122"/>
        <v>191.58952</v>
      </c>
      <c r="I737" s="107"/>
      <c r="J737" s="107"/>
      <c r="K737" s="107">
        <v>120.98971</v>
      </c>
      <c r="L737" s="107">
        <v>13.84016</v>
      </c>
      <c r="M737" s="107"/>
      <c r="N737" s="107"/>
      <c r="O737" s="106">
        <f>1.94568+7.07772</f>
        <v>9.0234</v>
      </c>
      <c r="P737" s="106">
        <f>0.10241+3.53886</f>
        <v>3.64127</v>
      </c>
      <c r="Q737" s="106"/>
      <c r="R737" s="106"/>
      <c r="S737" s="106"/>
      <c r="T737" s="106"/>
      <c r="U737" s="106"/>
      <c r="V737" s="106"/>
      <c r="W737" s="106">
        <v>94.74009</v>
      </c>
      <c r="X737" s="106">
        <v>49.46096</v>
      </c>
      <c r="Y737" s="107"/>
      <c r="Z737" s="107"/>
      <c r="AA737" s="159">
        <v>36.84604</v>
      </c>
      <c r="AB737" s="106">
        <v>32.68206</v>
      </c>
      <c r="AC737" s="107"/>
      <c r="AD737" s="107"/>
      <c r="AE737" s="107"/>
      <c r="AF737" s="107"/>
      <c r="AG737" s="107"/>
      <c r="AH737" s="107"/>
      <c r="AI737" s="107"/>
      <c r="AJ737" s="108">
        <v>0</v>
      </c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7"/>
      <c r="AV737" s="107"/>
      <c r="AW737" s="107"/>
      <c r="AX737" s="107"/>
      <c r="AY737" s="106"/>
      <c r="AZ737" s="107"/>
      <c r="BA737" s="107"/>
      <c r="BB737" s="107"/>
      <c r="BC737" s="107">
        <v>93.77765</v>
      </c>
      <c r="BD737" s="107">
        <v>91.96507</v>
      </c>
      <c r="BE737" s="107"/>
      <c r="BF737" s="107"/>
      <c r="BG737" s="107"/>
      <c r="BH737" s="107"/>
      <c r="BI737" s="107"/>
      <c r="BJ737" s="107"/>
      <c r="BK737" s="107"/>
      <c r="BL737" s="107"/>
      <c r="BM737" s="107"/>
      <c r="BN737" s="107"/>
      <c r="BO737" s="107"/>
      <c r="BP737" s="107"/>
      <c r="BQ737" s="109"/>
      <c r="BR737" s="109"/>
      <c r="BS737" s="109"/>
      <c r="BT737" s="109"/>
      <c r="BU737" s="138"/>
    </row>
    <row r="738" spans="1:73" ht="38.25" customHeight="1" outlineLevel="2">
      <c r="A738" s="19" t="s">
        <v>605</v>
      </c>
      <c r="B738" s="22" t="s">
        <v>1018</v>
      </c>
      <c r="C738" s="20" t="s">
        <v>587</v>
      </c>
      <c r="D738" s="218" t="s">
        <v>1022</v>
      </c>
      <c r="E738" s="220" t="s">
        <v>2538</v>
      </c>
      <c r="F738" s="108">
        <f t="shared" si="118"/>
        <v>358.60164999999995</v>
      </c>
      <c r="G738" s="106">
        <f t="shared" si="121"/>
        <v>187.48887</v>
      </c>
      <c r="H738" s="106">
        <f t="shared" si="122"/>
        <v>171.11278</v>
      </c>
      <c r="I738" s="107"/>
      <c r="J738" s="107"/>
      <c r="K738" s="107"/>
      <c r="L738" s="107"/>
      <c r="M738" s="107"/>
      <c r="N738" s="107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7"/>
      <c r="Z738" s="107"/>
      <c r="AA738" s="159">
        <v>83.6946</v>
      </c>
      <c r="AB738" s="106">
        <v>69.32558</v>
      </c>
      <c r="AC738" s="107"/>
      <c r="AD738" s="107"/>
      <c r="AE738" s="107"/>
      <c r="AF738" s="107"/>
      <c r="AG738" s="107"/>
      <c r="AH738" s="107"/>
      <c r="AI738" s="107"/>
      <c r="AJ738" s="108">
        <v>0</v>
      </c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7"/>
      <c r="AV738" s="107"/>
      <c r="AW738" s="107"/>
      <c r="AX738" s="107"/>
      <c r="AY738" s="106"/>
      <c r="AZ738" s="107"/>
      <c r="BA738" s="107"/>
      <c r="BB738" s="107"/>
      <c r="BC738" s="107">
        <v>103.79427</v>
      </c>
      <c r="BD738" s="107">
        <v>101.7872</v>
      </c>
      <c r="BE738" s="107"/>
      <c r="BF738" s="107"/>
      <c r="BG738" s="107"/>
      <c r="BH738" s="107"/>
      <c r="BI738" s="107"/>
      <c r="BJ738" s="107"/>
      <c r="BK738" s="107"/>
      <c r="BL738" s="107"/>
      <c r="BM738" s="107"/>
      <c r="BN738" s="107"/>
      <c r="BO738" s="107"/>
      <c r="BP738" s="107"/>
      <c r="BQ738" s="109"/>
      <c r="BR738" s="109"/>
      <c r="BS738" s="109"/>
      <c r="BT738" s="109"/>
      <c r="BU738" s="138"/>
    </row>
    <row r="739" spans="1:73" ht="38.25" customHeight="1" outlineLevel="2">
      <c r="A739" s="35" t="s">
        <v>605</v>
      </c>
      <c r="B739" s="37" t="s">
        <v>269</v>
      </c>
      <c r="C739" s="20" t="s">
        <v>587</v>
      </c>
      <c r="D739" s="218" t="s">
        <v>1023</v>
      </c>
      <c r="E739" s="220" t="s">
        <v>2539</v>
      </c>
      <c r="F739" s="108">
        <f t="shared" si="118"/>
        <v>88.26185000000001</v>
      </c>
      <c r="G739" s="106">
        <f t="shared" si="121"/>
        <v>62.014120000000005</v>
      </c>
      <c r="H739" s="106">
        <f t="shared" si="122"/>
        <v>26.24773</v>
      </c>
      <c r="I739" s="107"/>
      <c r="J739" s="107"/>
      <c r="K739" s="107"/>
      <c r="L739" s="107"/>
      <c r="M739" s="107"/>
      <c r="N739" s="107"/>
      <c r="O739" s="106">
        <v>36.82844</v>
      </c>
      <c r="P739" s="106">
        <v>1.64163</v>
      </c>
      <c r="Q739" s="106"/>
      <c r="R739" s="106"/>
      <c r="S739" s="106"/>
      <c r="T739" s="106"/>
      <c r="U739" s="106"/>
      <c r="V739" s="106"/>
      <c r="W739" s="106"/>
      <c r="X739" s="106"/>
      <c r="Y739" s="107"/>
      <c r="Z739" s="107"/>
      <c r="AA739" s="159">
        <v>5.14392</v>
      </c>
      <c r="AB739" s="106">
        <v>4.95183</v>
      </c>
      <c r="AC739" s="107"/>
      <c r="AD739" s="107"/>
      <c r="AE739" s="107"/>
      <c r="AF739" s="107"/>
      <c r="AG739" s="107"/>
      <c r="AH739" s="107"/>
      <c r="AI739" s="107"/>
      <c r="AJ739" s="108">
        <v>0</v>
      </c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7"/>
      <c r="AV739" s="107"/>
      <c r="AW739" s="107"/>
      <c r="AX739" s="107"/>
      <c r="AY739" s="106"/>
      <c r="AZ739" s="107"/>
      <c r="BA739" s="107"/>
      <c r="BB739" s="107"/>
      <c r="BC739" s="107">
        <v>20.04176</v>
      </c>
      <c r="BD739" s="107">
        <v>19.65427</v>
      </c>
      <c r="BE739" s="107"/>
      <c r="BF739" s="107"/>
      <c r="BG739" s="107"/>
      <c r="BH739" s="107"/>
      <c r="BI739" s="107"/>
      <c r="BJ739" s="107"/>
      <c r="BK739" s="107"/>
      <c r="BL739" s="107"/>
      <c r="BM739" s="107"/>
      <c r="BN739" s="107"/>
      <c r="BO739" s="107"/>
      <c r="BP739" s="107"/>
      <c r="BQ739" s="109"/>
      <c r="BR739" s="109"/>
      <c r="BS739" s="109"/>
      <c r="BT739" s="109"/>
      <c r="BU739" s="138"/>
    </row>
    <row r="740" spans="1:73" ht="38.25" customHeight="1" outlineLevel="2" thickBot="1">
      <c r="A740" s="35" t="s">
        <v>605</v>
      </c>
      <c r="B740" s="37" t="s">
        <v>270</v>
      </c>
      <c r="C740" s="20" t="s">
        <v>587</v>
      </c>
      <c r="D740" s="218" t="s">
        <v>946</v>
      </c>
      <c r="E740" s="220" t="s">
        <v>2540</v>
      </c>
      <c r="F740" s="108">
        <f t="shared" si="118"/>
        <v>445.54333999999994</v>
      </c>
      <c r="G740" s="106">
        <f t="shared" si="121"/>
        <v>296.27092</v>
      </c>
      <c r="H740" s="106">
        <f t="shared" si="122"/>
        <v>149.27241999999998</v>
      </c>
      <c r="I740" s="107"/>
      <c r="J740" s="107"/>
      <c r="K740" s="107"/>
      <c r="L740" s="107"/>
      <c r="M740" s="107"/>
      <c r="N740" s="107"/>
      <c r="O740" s="106">
        <v>131.87063</v>
      </c>
      <c r="P740" s="106">
        <v>5.88524</v>
      </c>
      <c r="Q740" s="106"/>
      <c r="R740" s="106"/>
      <c r="S740" s="106"/>
      <c r="T740" s="106"/>
      <c r="U740" s="106"/>
      <c r="V740" s="106"/>
      <c r="W740" s="106">
        <v>78.59871</v>
      </c>
      <c r="X740" s="106">
        <v>41.03403</v>
      </c>
      <c r="Y740" s="107"/>
      <c r="Z740" s="107"/>
      <c r="AA740" s="159">
        <v>12.95095</v>
      </c>
      <c r="AB740" s="106">
        <v>12.28053</v>
      </c>
      <c r="AC740" s="107"/>
      <c r="AD740" s="107"/>
      <c r="AE740" s="107"/>
      <c r="AF740" s="107"/>
      <c r="AG740" s="107"/>
      <c r="AH740" s="107"/>
      <c r="AI740" s="107"/>
      <c r="AJ740" s="108">
        <v>9.14124</v>
      </c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7"/>
      <c r="AV740" s="107"/>
      <c r="AW740" s="107"/>
      <c r="AX740" s="107"/>
      <c r="AY740" s="106"/>
      <c r="AZ740" s="107"/>
      <c r="BA740" s="107"/>
      <c r="BB740" s="107"/>
      <c r="BC740" s="107">
        <v>72.85063</v>
      </c>
      <c r="BD740" s="107">
        <v>71.44438</v>
      </c>
      <c r="BE740" s="107"/>
      <c r="BF740" s="107"/>
      <c r="BG740" s="107"/>
      <c r="BH740" s="107"/>
      <c r="BI740" s="107"/>
      <c r="BJ740" s="107">
        <v>9.487</v>
      </c>
      <c r="BK740" s="107"/>
      <c r="BL740" s="107"/>
      <c r="BM740" s="107"/>
      <c r="BN740" s="107"/>
      <c r="BO740" s="107"/>
      <c r="BP740" s="107"/>
      <c r="BQ740" s="109"/>
      <c r="BR740" s="109"/>
      <c r="BS740" s="109"/>
      <c r="BT740" s="109"/>
      <c r="BU740" s="138"/>
    </row>
    <row r="741" spans="1:73" s="32" customFormat="1" ht="21" outlineLevel="1" thickBot="1">
      <c r="A741" s="43" t="s">
        <v>59</v>
      </c>
      <c r="B741" s="44"/>
      <c r="C741" s="30" t="s">
        <v>1572</v>
      </c>
      <c r="D741" s="222"/>
      <c r="E741" s="223"/>
      <c r="F741" s="117">
        <f aca="true" t="shared" si="123" ref="F741:AV741">SUBTOTAL(9,F683:F740)</f>
        <v>148866.05140000003</v>
      </c>
      <c r="G741" s="117">
        <f t="shared" si="123"/>
        <v>66880.69726999998</v>
      </c>
      <c r="H741" s="117">
        <f t="shared" si="123"/>
        <v>81985.35413</v>
      </c>
      <c r="I741" s="117">
        <f t="shared" si="123"/>
        <v>7952.96921</v>
      </c>
      <c r="J741" s="117">
        <f t="shared" si="123"/>
        <v>313.97146</v>
      </c>
      <c r="K741" s="117">
        <f t="shared" si="123"/>
        <v>11697.624259999999</v>
      </c>
      <c r="L741" s="117">
        <f t="shared" si="123"/>
        <v>3109.30752</v>
      </c>
      <c r="M741" s="117">
        <f t="shared" si="123"/>
        <v>1254.76604</v>
      </c>
      <c r="N741" s="117">
        <f t="shared" si="123"/>
        <v>0</v>
      </c>
      <c r="O741" s="117">
        <f t="shared" si="123"/>
        <v>2863.558950000001</v>
      </c>
      <c r="P741" s="117">
        <f t="shared" si="123"/>
        <v>133.82491000000002</v>
      </c>
      <c r="Q741" s="117">
        <f t="shared" si="123"/>
        <v>38.37192</v>
      </c>
      <c r="R741" s="117">
        <f t="shared" si="123"/>
        <v>0</v>
      </c>
      <c r="S741" s="117">
        <f t="shared" si="123"/>
        <v>0</v>
      </c>
      <c r="T741" s="117">
        <f t="shared" si="123"/>
        <v>0</v>
      </c>
      <c r="U741" s="117">
        <f t="shared" si="123"/>
        <v>0</v>
      </c>
      <c r="V741" s="117">
        <f t="shared" si="123"/>
        <v>0</v>
      </c>
      <c r="W741" s="117">
        <f t="shared" si="123"/>
        <v>16197.42477</v>
      </c>
      <c r="X741" s="117">
        <f t="shared" si="123"/>
        <v>8456.189799999998</v>
      </c>
      <c r="Y741" s="117">
        <f t="shared" si="123"/>
        <v>473.12011</v>
      </c>
      <c r="Z741" s="117">
        <f t="shared" si="123"/>
        <v>1645.03125</v>
      </c>
      <c r="AA741" s="117">
        <f t="shared" si="123"/>
        <v>5564.462810000003</v>
      </c>
      <c r="AB741" s="117">
        <f t="shared" si="123"/>
        <v>4681.2594100000015</v>
      </c>
      <c r="AC741" s="117">
        <f t="shared" si="123"/>
        <v>2242.17131</v>
      </c>
      <c r="AD741" s="117">
        <f t="shared" si="123"/>
        <v>1170.57039</v>
      </c>
      <c r="AE741" s="117">
        <f t="shared" si="123"/>
        <v>0</v>
      </c>
      <c r="AF741" s="117">
        <f t="shared" si="123"/>
        <v>0</v>
      </c>
      <c r="AG741" s="117">
        <f t="shared" si="123"/>
        <v>163.8252</v>
      </c>
      <c r="AH741" s="117">
        <f t="shared" si="123"/>
        <v>0</v>
      </c>
      <c r="AI741" s="117">
        <f t="shared" si="123"/>
        <v>0</v>
      </c>
      <c r="AJ741" s="117">
        <f>SUBTOTAL(9,AJ683:AJ740)</f>
        <v>3545.90208</v>
      </c>
      <c r="AK741" s="117">
        <f t="shared" si="123"/>
        <v>286.10040000000004</v>
      </c>
      <c r="AL741" s="117">
        <f t="shared" si="123"/>
        <v>0</v>
      </c>
      <c r="AM741" s="117">
        <f t="shared" si="123"/>
        <v>0</v>
      </c>
      <c r="AN741" s="117">
        <f t="shared" si="123"/>
        <v>0</v>
      </c>
      <c r="AO741" s="117">
        <f t="shared" si="123"/>
        <v>0</v>
      </c>
      <c r="AP741" s="117">
        <f t="shared" si="123"/>
        <v>0</v>
      </c>
      <c r="AQ741" s="117">
        <f t="shared" si="123"/>
        <v>0</v>
      </c>
      <c r="AR741" s="117">
        <f t="shared" si="123"/>
        <v>0</v>
      </c>
      <c r="AS741" s="117">
        <f t="shared" si="123"/>
        <v>0</v>
      </c>
      <c r="AT741" s="117">
        <f t="shared" si="123"/>
        <v>0</v>
      </c>
      <c r="AU741" s="117">
        <f t="shared" si="123"/>
        <v>170.2</v>
      </c>
      <c r="AV741" s="117">
        <f t="shared" si="123"/>
        <v>2654.08</v>
      </c>
      <c r="AW741" s="117">
        <f aca="true" t="shared" si="124" ref="AW741:BU741">SUBTOTAL(9,AW683:AW740)</f>
        <v>0</v>
      </c>
      <c r="AX741" s="117">
        <f t="shared" si="124"/>
        <v>0</v>
      </c>
      <c r="AY741" s="117">
        <f t="shared" si="124"/>
        <v>3061.04072</v>
      </c>
      <c r="AZ741" s="117">
        <f t="shared" si="124"/>
        <v>10.008</v>
      </c>
      <c r="BA741" s="117">
        <f t="shared" si="124"/>
        <v>199.65661</v>
      </c>
      <c r="BB741" s="117">
        <f t="shared" si="124"/>
        <v>0</v>
      </c>
      <c r="BC741" s="117">
        <f t="shared" si="124"/>
        <v>18390.86585000001</v>
      </c>
      <c r="BD741" s="117">
        <f t="shared" si="124"/>
        <v>18035.44489999999</v>
      </c>
      <c r="BE741" s="117">
        <f t="shared" si="124"/>
        <v>2583.5875899999996</v>
      </c>
      <c r="BF741" s="117">
        <f t="shared" si="124"/>
        <v>0</v>
      </c>
      <c r="BG741" s="117">
        <f t="shared" si="124"/>
        <v>0</v>
      </c>
      <c r="BH741" s="117">
        <f t="shared" si="124"/>
        <v>0</v>
      </c>
      <c r="BI741" s="117">
        <f t="shared" si="124"/>
        <v>0</v>
      </c>
      <c r="BJ741" s="117">
        <f t="shared" si="124"/>
        <v>28665.523240000002</v>
      </c>
      <c r="BK741" s="117"/>
      <c r="BL741" s="117">
        <f t="shared" si="124"/>
        <v>0</v>
      </c>
      <c r="BM741" s="117">
        <f t="shared" si="124"/>
        <v>1612.13369</v>
      </c>
      <c r="BN741" s="117">
        <f t="shared" si="124"/>
        <v>0</v>
      </c>
      <c r="BO741" s="117">
        <f t="shared" si="124"/>
        <v>0</v>
      </c>
      <c r="BP741" s="117">
        <f t="shared" si="124"/>
        <v>0</v>
      </c>
      <c r="BQ741" s="117">
        <f t="shared" si="124"/>
        <v>194.559</v>
      </c>
      <c r="BR741" s="117">
        <f t="shared" si="124"/>
        <v>1498.5</v>
      </c>
      <c r="BS741" s="117">
        <f t="shared" si="124"/>
        <v>0</v>
      </c>
      <c r="BT741" s="117">
        <f t="shared" si="124"/>
        <v>0</v>
      </c>
      <c r="BU741" s="117">
        <f t="shared" si="124"/>
        <v>0</v>
      </c>
    </row>
    <row r="742" spans="1:73" ht="31.5" customHeight="1" outlineLevel="2">
      <c r="A742" s="35" t="s">
        <v>60</v>
      </c>
      <c r="B742" s="37" t="s">
        <v>616</v>
      </c>
      <c r="C742" s="20" t="s">
        <v>1496</v>
      </c>
      <c r="D742" s="218" t="s">
        <v>617</v>
      </c>
      <c r="E742" s="203" t="s">
        <v>2541</v>
      </c>
      <c r="F742" s="108">
        <f aca="true" t="shared" si="125" ref="F742:F792">G742+H742</f>
        <v>1197.40517</v>
      </c>
      <c r="G742" s="106">
        <f>I742+K742+O742+S742+U742+W742+Y742+AA742+AC742+AE742+AR742+AX742+BC742+BG742+BP742+BR742+BT742+AO742</f>
        <v>564.81024</v>
      </c>
      <c r="H742" s="106">
        <f>J742+L742+M742+N742+P742+Q742+R742+T742+V742+X742+Z742+AB742+AD742+AF742+AG742+AJ742+AL742+AS742+AT742+AU742+AV742+AW742+AY742+AZ742+BA742+BB742+BD742+BE742+BF742+BH742+BI742+BJ742+BL742+BM742+BN742+BO742+BQ742+BS742+BU742+AH742+AI742+AK742+AM742+AN742+AP742+AQ742+BK742</f>
        <v>632.59493</v>
      </c>
      <c r="I742" s="107"/>
      <c r="J742" s="107"/>
      <c r="K742" s="107"/>
      <c r="L742" s="107"/>
      <c r="M742" s="107"/>
      <c r="N742" s="107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7">
        <v>19.76</v>
      </c>
      <c r="Z742" s="107">
        <v>51.909</v>
      </c>
      <c r="AA742" s="159">
        <v>194.57631</v>
      </c>
      <c r="AB742" s="106">
        <v>99.03655</v>
      </c>
      <c r="AC742" s="107"/>
      <c r="AD742" s="107"/>
      <c r="AE742" s="107"/>
      <c r="AF742" s="107"/>
      <c r="AG742" s="107"/>
      <c r="AH742" s="107"/>
      <c r="AI742" s="107"/>
      <c r="AJ742" s="108">
        <v>137.95156</v>
      </c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7"/>
      <c r="AV742" s="107"/>
      <c r="AW742" s="107"/>
      <c r="AX742" s="107"/>
      <c r="AY742" s="106"/>
      <c r="AZ742" s="107"/>
      <c r="BA742" s="107"/>
      <c r="BB742" s="107"/>
      <c r="BC742" s="107">
        <v>350.47393</v>
      </c>
      <c r="BD742" s="107">
        <v>343.69782</v>
      </c>
      <c r="BE742" s="107"/>
      <c r="BF742" s="107"/>
      <c r="BG742" s="107"/>
      <c r="BH742" s="107"/>
      <c r="BI742" s="107"/>
      <c r="BJ742" s="107"/>
      <c r="BK742" s="107"/>
      <c r="BL742" s="107"/>
      <c r="BM742" s="107"/>
      <c r="BN742" s="107"/>
      <c r="BO742" s="107"/>
      <c r="BP742" s="107"/>
      <c r="BQ742" s="109"/>
      <c r="BR742" s="109"/>
      <c r="BS742" s="109"/>
      <c r="BT742" s="109"/>
      <c r="BU742" s="138"/>
    </row>
    <row r="743" spans="1:73" ht="34.5" customHeight="1" outlineLevel="2">
      <c r="A743" s="35" t="s">
        <v>60</v>
      </c>
      <c r="B743" s="37" t="s">
        <v>108</v>
      </c>
      <c r="C743" s="20" t="s">
        <v>1496</v>
      </c>
      <c r="D743" s="218" t="s">
        <v>841</v>
      </c>
      <c r="E743" s="203" t="s">
        <v>2542</v>
      </c>
      <c r="F743" s="108">
        <f t="shared" si="125"/>
        <v>742.1850000000001</v>
      </c>
      <c r="G743" s="106">
        <f aca="true" t="shared" si="126" ref="G743:G753">I743+K743+O743+S743+U743+W743+Y743+AA743+AC743+AE743+AR743+AX743+BC743+BG743+BP743+BR743+BT743+AO743</f>
        <v>0</v>
      </c>
      <c r="H743" s="106">
        <f aca="true" t="shared" si="127" ref="H743:H753">J743+L743+M743+N743+P743+Q743+R743+T743+V743+X743+Z743+AB743+AD743+AF743+AG743+AJ743+AL743+AS743+AT743+AU743+AV743+AW743+AY743+AZ743+BA743+BB743+BD743+BE743+BF743+BH743+BI743+BJ743+BL743+BM743+BN743+BO743+BQ743+BS743+BU743+AH743+AI743+AK743+AM743+AN743+AP743+AQ743+BK743</f>
        <v>742.1850000000001</v>
      </c>
      <c r="I743" s="107"/>
      <c r="J743" s="107"/>
      <c r="K743" s="107"/>
      <c r="L743" s="107"/>
      <c r="M743" s="107"/>
      <c r="N743" s="107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7"/>
      <c r="Z743" s="107"/>
      <c r="AA743" s="106"/>
      <c r="AB743" s="106"/>
      <c r="AC743" s="107"/>
      <c r="AD743" s="107"/>
      <c r="AE743" s="107"/>
      <c r="AF743" s="107"/>
      <c r="AG743" s="107"/>
      <c r="AH743" s="107"/>
      <c r="AI743" s="107"/>
      <c r="AJ743" s="108">
        <v>0</v>
      </c>
      <c r="AK743" s="107"/>
      <c r="AL743" s="107"/>
      <c r="AM743" s="107"/>
      <c r="AN743" s="107">
        <v>34.2</v>
      </c>
      <c r="AO743" s="107"/>
      <c r="AP743" s="107"/>
      <c r="AQ743" s="107"/>
      <c r="AR743" s="107"/>
      <c r="AS743" s="107"/>
      <c r="AT743" s="107"/>
      <c r="AU743" s="107"/>
      <c r="AV743" s="107"/>
      <c r="AW743" s="107"/>
      <c r="AX743" s="107"/>
      <c r="AY743" s="106"/>
      <c r="AZ743" s="107">
        <v>707.985</v>
      </c>
      <c r="BA743" s="107"/>
      <c r="BB743" s="107"/>
      <c r="BC743" s="107"/>
      <c r="BD743" s="107"/>
      <c r="BE743" s="107"/>
      <c r="BF743" s="107"/>
      <c r="BG743" s="107"/>
      <c r="BH743" s="107"/>
      <c r="BI743" s="107"/>
      <c r="BJ743" s="107"/>
      <c r="BK743" s="107"/>
      <c r="BL743" s="107"/>
      <c r="BM743" s="107"/>
      <c r="BN743" s="107"/>
      <c r="BO743" s="107"/>
      <c r="BP743" s="107"/>
      <c r="BQ743" s="109"/>
      <c r="BR743" s="109"/>
      <c r="BS743" s="109"/>
      <c r="BT743" s="109"/>
      <c r="BU743" s="138"/>
    </row>
    <row r="744" spans="1:73" ht="31.5" customHeight="1" outlineLevel="2">
      <c r="A744" s="35" t="s">
        <v>60</v>
      </c>
      <c r="B744" s="37" t="s">
        <v>277</v>
      </c>
      <c r="C744" s="20" t="s">
        <v>1496</v>
      </c>
      <c r="D744" s="218" t="s">
        <v>135</v>
      </c>
      <c r="E744" s="203" t="s">
        <v>2543</v>
      </c>
      <c r="F744" s="108">
        <f t="shared" si="125"/>
        <v>9045.042300000001</v>
      </c>
      <c r="G744" s="106">
        <f t="shared" si="126"/>
        <v>4507.38839</v>
      </c>
      <c r="H744" s="106">
        <f t="shared" si="127"/>
        <v>4537.65391</v>
      </c>
      <c r="I744" s="107"/>
      <c r="J744" s="107"/>
      <c r="K744" s="107"/>
      <c r="L744" s="107"/>
      <c r="M744" s="107"/>
      <c r="N744" s="107"/>
      <c r="O744" s="106"/>
      <c r="P744" s="106"/>
      <c r="Q744" s="106"/>
      <c r="R744" s="106"/>
      <c r="S744" s="106"/>
      <c r="T744" s="106"/>
      <c r="U744" s="106"/>
      <c r="V744" s="106"/>
      <c r="W744" s="106">
        <f>259.05872+1304.87309</f>
        <v>1563.93181</v>
      </c>
      <c r="X744" s="106">
        <f>135.24679+681.23512</f>
        <v>816.4819100000001</v>
      </c>
      <c r="Y744" s="107">
        <v>94.24</v>
      </c>
      <c r="Z744" s="107">
        <v>271.524</v>
      </c>
      <c r="AA744" s="106">
        <f>182.20213+669.04086</f>
        <v>851.24299</v>
      </c>
      <c r="AB744" s="106">
        <f>161.82571+594.21927</f>
        <v>756.04498</v>
      </c>
      <c r="AC744" s="107"/>
      <c r="AD744" s="107"/>
      <c r="AE744" s="107"/>
      <c r="AF744" s="107"/>
      <c r="AG744" s="107"/>
      <c r="AH744" s="107"/>
      <c r="AI744" s="107"/>
      <c r="AJ744" s="108">
        <v>734.21304</v>
      </c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7"/>
      <c r="AV744" s="107"/>
      <c r="AW744" s="107"/>
      <c r="AX744" s="107"/>
      <c r="AY744" s="106"/>
      <c r="AZ744" s="107"/>
      <c r="BA744" s="107"/>
      <c r="BB744" s="107"/>
      <c r="BC744" s="107">
        <v>1997.97359</v>
      </c>
      <c r="BD744" s="107">
        <v>1959.38998</v>
      </c>
      <c r="BE744" s="107"/>
      <c r="BF744" s="107"/>
      <c r="BG744" s="107"/>
      <c r="BH744" s="107"/>
      <c r="BI744" s="107"/>
      <c r="BJ744" s="107"/>
      <c r="BK744" s="107"/>
      <c r="BL744" s="107"/>
      <c r="BM744" s="107"/>
      <c r="BN744" s="107"/>
      <c r="BO744" s="107"/>
      <c r="BP744" s="107"/>
      <c r="BQ744" s="109"/>
      <c r="BR744" s="109"/>
      <c r="BS744" s="109"/>
      <c r="BT744" s="109"/>
      <c r="BU744" s="138"/>
    </row>
    <row r="745" spans="1:73" ht="39" customHeight="1" outlineLevel="2">
      <c r="A745" s="3" t="s">
        <v>60</v>
      </c>
      <c r="B745" s="50" t="s">
        <v>565</v>
      </c>
      <c r="C745" s="4" t="s">
        <v>710</v>
      </c>
      <c r="D745" s="230" t="s">
        <v>133</v>
      </c>
      <c r="E745" s="233" t="s">
        <v>2544</v>
      </c>
      <c r="F745" s="108">
        <f t="shared" si="125"/>
        <v>246.62833</v>
      </c>
      <c r="G745" s="106">
        <f t="shared" si="126"/>
        <v>133.24439999999998</v>
      </c>
      <c r="H745" s="106">
        <f t="shared" si="127"/>
        <v>113.38393</v>
      </c>
      <c r="I745" s="119"/>
      <c r="J745" s="119"/>
      <c r="K745" s="119"/>
      <c r="L745" s="119"/>
      <c r="M745" s="119"/>
      <c r="N745" s="119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19"/>
      <c r="Z745" s="119"/>
      <c r="AA745" s="163">
        <v>63.50272</v>
      </c>
      <c r="AB745" s="120">
        <v>39.61462</v>
      </c>
      <c r="AC745" s="119"/>
      <c r="AD745" s="119"/>
      <c r="AE745" s="119"/>
      <c r="AF745" s="119"/>
      <c r="AG745" s="119"/>
      <c r="AH745" s="119"/>
      <c r="AI745" s="119"/>
      <c r="AJ745" s="108">
        <v>5.3772</v>
      </c>
      <c r="AK745" s="119"/>
      <c r="AL745" s="119"/>
      <c r="AM745" s="119"/>
      <c r="AN745" s="119"/>
      <c r="AO745" s="119"/>
      <c r="AP745" s="119"/>
      <c r="AQ745" s="119"/>
      <c r="AR745" s="119"/>
      <c r="AS745" s="119"/>
      <c r="AT745" s="119"/>
      <c r="AU745" s="119"/>
      <c r="AV745" s="119"/>
      <c r="AW745" s="119"/>
      <c r="AX745" s="119"/>
      <c r="AY745" s="120"/>
      <c r="AZ745" s="119"/>
      <c r="BA745" s="119"/>
      <c r="BB745" s="119"/>
      <c r="BC745" s="119">
        <v>69.74168</v>
      </c>
      <c r="BD745" s="119">
        <v>68.39211</v>
      </c>
      <c r="BE745" s="119"/>
      <c r="BF745" s="119"/>
      <c r="BG745" s="119"/>
      <c r="BH745" s="119"/>
      <c r="BI745" s="119"/>
      <c r="BJ745" s="119"/>
      <c r="BK745" s="119"/>
      <c r="BL745" s="119"/>
      <c r="BM745" s="119"/>
      <c r="BN745" s="119"/>
      <c r="BO745" s="119"/>
      <c r="BP745" s="119"/>
      <c r="BQ745" s="121"/>
      <c r="BR745" s="121"/>
      <c r="BS745" s="121"/>
      <c r="BT745" s="121"/>
      <c r="BU745" s="140"/>
    </row>
    <row r="746" spans="1:73" ht="39" customHeight="1" outlineLevel="2">
      <c r="A746" s="19" t="s">
        <v>60</v>
      </c>
      <c r="B746" s="22" t="s">
        <v>566</v>
      </c>
      <c r="C746" s="20" t="s">
        <v>710</v>
      </c>
      <c r="D746" s="218" t="s">
        <v>1278</v>
      </c>
      <c r="E746" s="220" t="s">
        <v>2545</v>
      </c>
      <c r="F746" s="108">
        <f t="shared" si="125"/>
        <v>299.55907</v>
      </c>
      <c r="G746" s="106">
        <f t="shared" si="126"/>
        <v>160.5398</v>
      </c>
      <c r="H746" s="106">
        <f t="shared" si="127"/>
        <v>139.01927</v>
      </c>
      <c r="I746" s="107"/>
      <c r="J746" s="107"/>
      <c r="K746" s="107"/>
      <c r="L746" s="107"/>
      <c r="M746" s="107"/>
      <c r="N746" s="107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7"/>
      <c r="Z746" s="107">
        <v>7.986</v>
      </c>
      <c r="AA746" s="159">
        <v>87.51469</v>
      </c>
      <c r="AB746" s="106">
        <v>59.42193</v>
      </c>
      <c r="AC746" s="107"/>
      <c r="AD746" s="107"/>
      <c r="AE746" s="107"/>
      <c r="AF746" s="107"/>
      <c r="AG746" s="107"/>
      <c r="AH746" s="107"/>
      <c r="AI746" s="107"/>
      <c r="AJ746" s="108">
        <v>0</v>
      </c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7"/>
      <c r="AV746" s="107"/>
      <c r="AW746" s="107"/>
      <c r="AX746" s="107"/>
      <c r="AY746" s="106"/>
      <c r="AZ746" s="107"/>
      <c r="BA746" s="107"/>
      <c r="BB746" s="107"/>
      <c r="BC746" s="107">
        <v>73.02511</v>
      </c>
      <c r="BD746" s="107">
        <v>71.61134</v>
      </c>
      <c r="BE746" s="107"/>
      <c r="BF746" s="107"/>
      <c r="BG746" s="107"/>
      <c r="BH746" s="107"/>
      <c r="BI746" s="107"/>
      <c r="BJ746" s="107"/>
      <c r="BK746" s="107"/>
      <c r="BL746" s="107"/>
      <c r="BM746" s="107"/>
      <c r="BN746" s="107"/>
      <c r="BO746" s="107"/>
      <c r="BP746" s="107"/>
      <c r="BQ746" s="109"/>
      <c r="BR746" s="109"/>
      <c r="BS746" s="109"/>
      <c r="BT746" s="109"/>
      <c r="BU746" s="138"/>
    </row>
    <row r="747" spans="1:73" ht="39" customHeight="1" outlineLevel="2">
      <c r="A747" s="35" t="s">
        <v>60</v>
      </c>
      <c r="B747" s="37" t="s">
        <v>275</v>
      </c>
      <c r="C747" s="20" t="s">
        <v>710</v>
      </c>
      <c r="D747" s="218" t="s">
        <v>61</v>
      </c>
      <c r="E747" s="220" t="s">
        <v>2546</v>
      </c>
      <c r="F747" s="108">
        <f t="shared" si="125"/>
        <v>5165.7498000000005</v>
      </c>
      <c r="G747" s="106">
        <f t="shared" si="126"/>
        <v>1258.97247</v>
      </c>
      <c r="H747" s="106">
        <f t="shared" si="127"/>
        <v>3906.7773300000003</v>
      </c>
      <c r="I747" s="107"/>
      <c r="J747" s="107"/>
      <c r="K747" s="107"/>
      <c r="L747" s="107"/>
      <c r="M747" s="107"/>
      <c r="N747" s="107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7">
        <v>41.04</v>
      </c>
      <c r="Z747" s="107">
        <v>107.811</v>
      </c>
      <c r="AA747" s="159">
        <f>32.74359+507.52565</f>
        <v>540.26924</v>
      </c>
      <c r="AB747" s="106">
        <f>19.80731+307.01329</f>
        <v>326.8206</v>
      </c>
      <c r="AC747" s="107"/>
      <c r="AD747" s="107"/>
      <c r="AE747" s="107"/>
      <c r="AF747" s="107"/>
      <c r="AG747" s="107"/>
      <c r="AH747" s="107"/>
      <c r="AI747" s="107"/>
      <c r="AJ747" s="108">
        <v>314.43228</v>
      </c>
      <c r="AK747" s="107"/>
      <c r="AL747" s="107"/>
      <c r="AM747" s="107"/>
      <c r="AN747" s="107"/>
      <c r="AO747" s="107"/>
      <c r="AP747" s="107"/>
      <c r="AQ747" s="107"/>
      <c r="AR747" s="107"/>
      <c r="AS747" s="107"/>
      <c r="AT747" s="107"/>
      <c r="AU747" s="107"/>
      <c r="AV747" s="107"/>
      <c r="AW747" s="107"/>
      <c r="AX747" s="107"/>
      <c r="AY747" s="106"/>
      <c r="AZ747" s="107"/>
      <c r="BA747" s="107"/>
      <c r="BB747" s="107"/>
      <c r="BC747" s="107">
        <v>677.66323</v>
      </c>
      <c r="BD747" s="107">
        <v>664.54513</v>
      </c>
      <c r="BE747" s="107"/>
      <c r="BF747" s="107"/>
      <c r="BG747" s="107"/>
      <c r="BH747" s="107"/>
      <c r="BI747" s="107"/>
      <c r="BJ747" s="107">
        <v>2493.16832</v>
      </c>
      <c r="BK747" s="107"/>
      <c r="BL747" s="107"/>
      <c r="BM747" s="107"/>
      <c r="BN747" s="107"/>
      <c r="BO747" s="107"/>
      <c r="BP747" s="107"/>
      <c r="BQ747" s="109"/>
      <c r="BR747" s="109"/>
      <c r="BS747" s="109"/>
      <c r="BT747" s="109"/>
      <c r="BU747" s="138"/>
    </row>
    <row r="748" spans="1:73" ht="24" customHeight="1" outlineLevel="2">
      <c r="A748" s="35" t="s">
        <v>60</v>
      </c>
      <c r="B748" s="37" t="s">
        <v>272</v>
      </c>
      <c r="C748" s="20" t="s">
        <v>710</v>
      </c>
      <c r="D748" s="218" t="s">
        <v>136</v>
      </c>
      <c r="E748" s="220" t="s">
        <v>2547</v>
      </c>
      <c r="F748" s="108">
        <f t="shared" si="125"/>
        <v>1178.83186</v>
      </c>
      <c r="G748" s="106">
        <f t="shared" si="126"/>
        <v>229.43716</v>
      </c>
      <c r="H748" s="106">
        <f t="shared" si="127"/>
        <v>949.3947</v>
      </c>
      <c r="I748" s="107"/>
      <c r="J748" s="107"/>
      <c r="K748" s="107"/>
      <c r="L748" s="107"/>
      <c r="M748" s="107"/>
      <c r="N748" s="107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7">
        <v>7.6</v>
      </c>
      <c r="Z748" s="107">
        <v>19.965</v>
      </c>
      <c r="AA748" s="159">
        <v>29.48908</v>
      </c>
      <c r="AB748" s="106">
        <v>19.80731</v>
      </c>
      <c r="AC748" s="107"/>
      <c r="AD748" s="107"/>
      <c r="AE748" s="107"/>
      <c r="AF748" s="107"/>
      <c r="AG748" s="107"/>
      <c r="AH748" s="107"/>
      <c r="AI748" s="107"/>
      <c r="AJ748" s="108">
        <v>46.934839999999994</v>
      </c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7"/>
      <c r="AV748" s="107">
        <v>615.68</v>
      </c>
      <c r="AW748" s="107"/>
      <c r="AX748" s="107"/>
      <c r="AY748" s="106"/>
      <c r="AZ748" s="107"/>
      <c r="BA748" s="107"/>
      <c r="BB748" s="107"/>
      <c r="BC748" s="107">
        <v>192.34808</v>
      </c>
      <c r="BD748" s="107">
        <v>188.63239</v>
      </c>
      <c r="BE748" s="107"/>
      <c r="BF748" s="107"/>
      <c r="BG748" s="107"/>
      <c r="BH748" s="107"/>
      <c r="BI748" s="107"/>
      <c r="BJ748" s="107">
        <v>58.37516</v>
      </c>
      <c r="BK748" s="107"/>
      <c r="BL748" s="107"/>
      <c r="BM748" s="107"/>
      <c r="BN748" s="107"/>
      <c r="BO748" s="107"/>
      <c r="BP748" s="107"/>
      <c r="BQ748" s="109"/>
      <c r="BR748" s="109"/>
      <c r="BS748" s="109"/>
      <c r="BT748" s="109"/>
      <c r="BU748" s="138"/>
    </row>
    <row r="749" spans="1:73" ht="39" customHeight="1" outlineLevel="2">
      <c r="A749" s="35" t="s">
        <v>60</v>
      </c>
      <c r="B749" s="37" t="s">
        <v>273</v>
      </c>
      <c r="C749" s="20" t="s">
        <v>710</v>
      </c>
      <c r="D749" s="218" t="s">
        <v>1703</v>
      </c>
      <c r="E749" s="220" t="s">
        <v>2548</v>
      </c>
      <c r="F749" s="108">
        <f t="shared" si="125"/>
        <v>294.45141</v>
      </c>
      <c r="G749" s="106">
        <f t="shared" si="126"/>
        <v>108.30538</v>
      </c>
      <c r="H749" s="106">
        <f t="shared" si="127"/>
        <v>186.14603000000002</v>
      </c>
      <c r="I749" s="107"/>
      <c r="J749" s="107"/>
      <c r="K749" s="107"/>
      <c r="L749" s="107"/>
      <c r="M749" s="107"/>
      <c r="N749" s="107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7">
        <v>3.8</v>
      </c>
      <c r="Z749" s="107">
        <v>9.9825</v>
      </c>
      <c r="AA749" s="159">
        <v>39.73881</v>
      </c>
      <c r="AB749" s="106">
        <v>29.71096</v>
      </c>
      <c r="AC749" s="107"/>
      <c r="AD749" s="107"/>
      <c r="AE749" s="107"/>
      <c r="AF749" s="107"/>
      <c r="AG749" s="107"/>
      <c r="AH749" s="107"/>
      <c r="AI749" s="107"/>
      <c r="AJ749" s="108">
        <v>0</v>
      </c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7"/>
      <c r="AV749" s="107"/>
      <c r="AW749" s="107"/>
      <c r="AX749" s="107"/>
      <c r="AY749" s="106"/>
      <c r="AZ749" s="107">
        <v>51.48</v>
      </c>
      <c r="BA749" s="107"/>
      <c r="BB749" s="107"/>
      <c r="BC749" s="107">
        <v>64.76657</v>
      </c>
      <c r="BD749" s="107">
        <v>63.51319</v>
      </c>
      <c r="BE749" s="107"/>
      <c r="BF749" s="107"/>
      <c r="BG749" s="107"/>
      <c r="BH749" s="107"/>
      <c r="BI749" s="107"/>
      <c r="BJ749" s="107">
        <v>31.45938</v>
      </c>
      <c r="BK749" s="107"/>
      <c r="BL749" s="107"/>
      <c r="BM749" s="107"/>
      <c r="BN749" s="107"/>
      <c r="BO749" s="107"/>
      <c r="BP749" s="107"/>
      <c r="BQ749" s="109"/>
      <c r="BR749" s="109"/>
      <c r="BS749" s="109"/>
      <c r="BT749" s="109"/>
      <c r="BU749" s="138"/>
    </row>
    <row r="750" spans="1:73" ht="39" customHeight="1" outlineLevel="2">
      <c r="A750" s="19" t="s">
        <v>60</v>
      </c>
      <c r="B750" s="22" t="s">
        <v>276</v>
      </c>
      <c r="C750" s="20" t="s">
        <v>710</v>
      </c>
      <c r="D750" s="218" t="s">
        <v>134</v>
      </c>
      <c r="E750" s="220" t="s">
        <v>2549</v>
      </c>
      <c r="F750" s="108">
        <f t="shared" si="125"/>
        <v>2368.52543</v>
      </c>
      <c r="G750" s="106">
        <f t="shared" si="126"/>
        <v>309.76568</v>
      </c>
      <c r="H750" s="106">
        <f t="shared" si="127"/>
        <v>2058.75975</v>
      </c>
      <c r="I750" s="107"/>
      <c r="J750" s="107"/>
      <c r="K750" s="107"/>
      <c r="L750" s="107"/>
      <c r="M750" s="107"/>
      <c r="N750" s="107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7">
        <v>83.7976</v>
      </c>
      <c r="Z750" s="107">
        <v>220.13409</v>
      </c>
      <c r="AA750" s="159">
        <v>134.94328</v>
      </c>
      <c r="AB750" s="106">
        <v>79.22924</v>
      </c>
      <c r="AC750" s="107"/>
      <c r="AD750" s="107"/>
      <c r="AE750" s="107"/>
      <c r="AF750" s="107"/>
      <c r="AG750" s="107"/>
      <c r="AH750" s="107"/>
      <c r="AI750" s="107"/>
      <c r="AJ750" s="108">
        <v>35.65388</v>
      </c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7"/>
      <c r="AV750" s="107"/>
      <c r="AW750" s="107"/>
      <c r="AX750" s="107"/>
      <c r="AY750" s="106"/>
      <c r="AZ750" s="107"/>
      <c r="BA750" s="107"/>
      <c r="BB750" s="107"/>
      <c r="BC750" s="107">
        <v>91.0248</v>
      </c>
      <c r="BD750" s="107">
        <v>89.26567</v>
      </c>
      <c r="BE750" s="107"/>
      <c r="BF750" s="107"/>
      <c r="BG750" s="107"/>
      <c r="BH750" s="107"/>
      <c r="BI750" s="107"/>
      <c r="BJ750" s="107">
        <v>1634.47687</v>
      </c>
      <c r="BK750" s="107"/>
      <c r="BL750" s="107"/>
      <c r="BM750" s="107"/>
      <c r="BN750" s="107"/>
      <c r="BO750" s="107"/>
      <c r="BP750" s="107"/>
      <c r="BQ750" s="109"/>
      <c r="BR750" s="109"/>
      <c r="BS750" s="109"/>
      <c r="BT750" s="109"/>
      <c r="BU750" s="138"/>
    </row>
    <row r="751" spans="1:73" ht="39" customHeight="1" outlineLevel="2">
      <c r="A751" s="19" t="s">
        <v>60</v>
      </c>
      <c r="B751" s="22" t="s">
        <v>1076</v>
      </c>
      <c r="C751" s="20" t="s">
        <v>710</v>
      </c>
      <c r="D751" s="218" t="s">
        <v>132</v>
      </c>
      <c r="E751" s="220" t="s">
        <v>2550</v>
      </c>
      <c r="F751" s="108">
        <f t="shared" si="125"/>
        <v>121.24056</v>
      </c>
      <c r="G751" s="106">
        <f t="shared" si="126"/>
        <v>65.1598</v>
      </c>
      <c r="H751" s="106">
        <f t="shared" si="127"/>
        <v>56.08076</v>
      </c>
      <c r="I751" s="107"/>
      <c r="J751" s="107"/>
      <c r="K751" s="107"/>
      <c r="L751" s="107"/>
      <c r="M751" s="107"/>
      <c r="N751" s="107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7"/>
      <c r="Z751" s="107"/>
      <c r="AA751" s="159">
        <v>24.13103</v>
      </c>
      <c r="AB751" s="106">
        <v>15.84585</v>
      </c>
      <c r="AC751" s="107"/>
      <c r="AD751" s="107"/>
      <c r="AE751" s="107"/>
      <c r="AF751" s="107"/>
      <c r="AG751" s="107"/>
      <c r="AH751" s="107"/>
      <c r="AI751" s="107"/>
      <c r="AJ751" s="108">
        <v>0</v>
      </c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7"/>
      <c r="AV751" s="107"/>
      <c r="AW751" s="107"/>
      <c r="AX751" s="107"/>
      <c r="AY751" s="106"/>
      <c r="AZ751" s="107"/>
      <c r="BA751" s="107"/>
      <c r="BB751" s="107"/>
      <c r="BC751" s="107">
        <v>41.02877</v>
      </c>
      <c r="BD751" s="107">
        <v>40.23491</v>
      </c>
      <c r="BE751" s="107"/>
      <c r="BF751" s="107"/>
      <c r="BG751" s="107"/>
      <c r="BH751" s="107"/>
      <c r="BI751" s="107"/>
      <c r="BJ751" s="107"/>
      <c r="BK751" s="107"/>
      <c r="BL751" s="107"/>
      <c r="BM751" s="107"/>
      <c r="BN751" s="107"/>
      <c r="BO751" s="107"/>
      <c r="BP751" s="107"/>
      <c r="BQ751" s="109"/>
      <c r="BR751" s="109"/>
      <c r="BS751" s="109"/>
      <c r="BT751" s="109"/>
      <c r="BU751" s="138"/>
    </row>
    <row r="752" spans="1:73" ht="39" customHeight="1" outlineLevel="2">
      <c r="A752" s="35" t="s">
        <v>60</v>
      </c>
      <c r="B752" s="37" t="s">
        <v>274</v>
      </c>
      <c r="C752" s="20" t="s">
        <v>710</v>
      </c>
      <c r="D752" s="218" t="s">
        <v>615</v>
      </c>
      <c r="E752" s="220" t="s">
        <v>2551</v>
      </c>
      <c r="F752" s="108">
        <f t="shared" si="125"/>
        <v>155.01352</v>
      </c>
      <c r="G752" s="106">
        <f t="shared" si="126"/>
        <v>64.69479</v>
      </c>
      <c r="H752" s="106">
        <f t="shared" si="127"/>
        <v>90.31873</v>
      </c>
      <c r="I752" s="107"/>
      <c r="J752" s="107"/>
      <c r="K752" s="107"/>
      <c r="L752" s="107"/>
      <c r="M752" s="107"/>
      <c r="N752" s="107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7"/>
      <c r="Z752" s="107"/>
      <c r="AA752" s="159"/>
      <c r="AB752" s="106"/>
      <c r="AC752" s="107"/>
      <c r="AD752" s="107"/>
      <c r="AE752" s="107"/>
      <c r="AF752" s="107"/>
      <c r="AG752" s="107"/>
      <c r="AH752" s="107"/>
      <c r="AI752" s="107"/>
      <c r="AJ752" s="108">
        <v>26.87484</v>
      </c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7"/>
      <c r="AV752" s="107"/>
      <c r="AW752" s="107"/>
      <c r="AX752" s="107"/>
      <c r="AY752" s="106"/>
      <c r="AZ752" s="107"/>
      <c r="BA752" s="107"/>
      <c r="BB752" s="107"/>
      <c r="BC752" s="107">
        <v>64.69479</v>
      </c>
      <c r="BD752" s="107">
        <v>63.44389</v>
      </c>
      <c r="BE752" s="107"/>
      <c r="BF752" s="107"/>
      <c r="BG752" s="107"/>
      <c r="BH752" s="107"/>
      <c r="BI752" s="107"/>
      <c r="BJ752" s="107"/>
      <c r="BK752" s="107"/>
      <c r="BL752" s="107"/>
      <c r="BM752" s="107"/>
      <c r="BN752" s="107"/>
      <c r="BO752" s="107"/>
      <c r="BP752" s="107"/>
      <c r="BQ752" s="109"/>
      <c r="BR752" s="109"/>
      <c r="BS752" s="109"/>
      <c r="BT752" s="109"/>
      <c r="BU752" s="138"/>
    </row>
    <row r="753" spans="1:73" ht="36.75" customHeight="1" outlineLevel="2" thickBot="1">
      <c r="A753" s="38" t="s">
        <v>60</v>
      </c>
      <c r="B753" s="39" t="s">
        <v>1486</v>
      </c>
      <c r="C753" s="27" t="s">
        <v>934</v>
      </c>
      <c r="D753" s="219" t="s">
        <v>766</v>
      </c>
      <c r="E753" s="203" t="s">
        <v>2803</v>
      </c>
      <c r="F753" s="108">
        <f t="shared" si="125"/>
        <v>1248.41371</v>
      </c>
      <c r="G753" s="106">
        <f t="shared" si="126"/>
        <v>0</v>
      </c>
      <c r="H753" s="106">
        <f t="shared" si="127"/>
        <v>1248.41371</v>
      </c>
      <c r="I753" s="113"/>
      <c r="J753" s="113"/>
      <c r="K753" s="113"/>
      <c r="L753" s="113"/>
      <c r="M753" s="113"/>
      <c r="N753" s="113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3"/>
      <c r="Z753" s="113"/>
      <c r="AA753" s="114"/>
      <c r="AB753" s="114"/>
      <c r="AC753" s="113"/>
      <c r="AD753" s="113"/>
      <c r="AE753" s="113"/>
      <c r="AF753" s="113"/>
      <c r="AG753" s="113"/>
      <c r="AH753" s="113"/>
      <c r="AI753" s="113"/>
      <c r="AJ753" s="108">
        <v>0</v>
      </c>
      <c r="AK753" s="113"/>
      <c r="AL753" s="113"/>
      <c r="AM753" s="113"/>
      <c r="AN753" s="113"/>
      <c r="AO753" s="113"/>
      <c r="AP753" s="113"/>
      <c r="AQ753" s="113"/>
      <c r="AR753" s="113"/>
      <c r="AS753" s="113"/>
      <c r="AT753" s="113"/>
      <c r="AU753" s="113"/>
      <c r="AV753" s="113"/>
      <c r="AW753" s="113"/>
      <c r="AX753" s="113"/>
      <c r="AY753" s="114"/>
      <c r="AZ753" s="113"/>
      <c r="BA753" s="113"/>
      <c r="BB753" s="113"/>
      <c r="BC753" s="113"/>
      <c r="BD753" s="113"/>
      <c r="BE753" s="113"/>
      <c r="BF753" s="113"/>
      <c r="BG753" s="113"/>
      <c r="BH753" s="113"/>
      <c r="BI753" s="113"/>
      <c r="BJ753" s="113"/>
      <c r="BK753" s="113"/>
      <c r="BL753" s="113"/>
      <c r="BM753" s="113"/>
      <c r="BN753" s="113">
        <v>1248.41371</v>
      </c>
      <c r="BO753" s="113"/>
      <c r="BP753" s="113"/>
      <c r="BQ753" s="115"/>
      <c r="BR753" s="115"/>
      <c r="BS753" s="115"/>
      <c r="BT753" s="115"/>
      <c r="BU753" s="139"/>
    </row>
    <row r="754" spans="1:73" s="32" customFormat="1" ht="21" outlineLevel="1" thickBot="1">
      <c r="A754" s="40" t="s">
        <v>767</v>
      </c>
      <c r="B754" s="41"/>
      <c r="C754" s="30" t="s">
        <v>1572</v>
      </c>
      <c r="D754" s="222"/>
      <c r="E754" s="223"/>
      <c r="F754" s="117">
        <f aca="true" t="shared" si="128" ref="F754:BJ754">SUBTOTAL(9,F742:F753)</f>
        <v>22063.04616</v>
      </c>
      <c r="G754" s="117">
        <f t="shared" si="128"/>
        <v>7402.318109999999</v>
      </c>
      <c r="H754" s="117">
        <f t="shared" si="128"/>
        <v>14660.728050000003</v>
      </c>
      <c r="I754" s="117">
        <f t="shared" si="128"/>
        <v>0</v>
      </c>
      <c r="J754" s="117">
        <f t="shared" si="128"/>
        <v>0</v>
      </c>
      <c r="K754" s="117">
        <f t="shared" si="128"/>
        <v>0</v>
      </c>
      <c r="L754" s="117">
        <f t="shared" si="128"/>
        <v>0</v>
      </c>
      <c r="M754" s="117">
        <f t="shared" si="128"/>
        <v>0</v>
      </c>
      <c r="N754" s="117">
        <f t="shared" si="128"/>
        <v>0</v>
      </c>
      <c r="O754" s="117">
        <f t="shared" si="128"/>
        <v>0</v>
      </c>
      <c r="P754" s="117">
        <f t="shared" si="128"/>
        <v>0</v>
      </c>
      <c r="Q754" s="117">
        <f t="shared" si="128"/>
        <v>0</v>
      </c>
      <c r="R754" s="117">
        <f t="shared" si="128"/>
        <v>0</v>
      </c>
      <c r="S754" s="117">
        <f t="shared" si="128"/>
        <v>0</v>
      </c>
      <c r="T754" s="117">
        <f t="shared" si="128"/>
        <v>0</v>
      </c>
      <c r="U754" s="117">
        <f t="shared" si="128"/>
        <v>0</v>
      </c>
      <c r="V754" s="117">
        <f t="shared" si="128"/>
        <v>0</v>
      </c>
      <c r="W754" s="117">
        <f t="shared" si="128"/>
        <v>1563.93181</v>
      </c>
      <c r="X754" s="117">
        <f t="shared" si="128"/>
        <v>816.4819100000001</v>
      </c>
      <c r="Y754" s="117">
        <f t="shared" si="128"/>
        <v>250.2376</v>
      </c>
      <c r="Z754" s="117">
        <f t="shared" si="128"/>
        <v>689.31159</v>
      </c>
      <c r="AA754" s="117">
        <f t="shared" si="128"/>
        <v>1965.4081499999998</v>
      </c>
      <c r="AB754" s="117">
        <f t="shared" si="128"/>
        <v>1425.5320399999998</v>
      </c>
      <c r="AC754" s="117">
        <f t="shared" si="128"/>
        <v>0</v>
      </c>
      <c r="AD754" s="117">
        <f t="shared" si="128"/>
        <v>0</v>
      </c>
      <c r="AE754" s="117">
        <f t="shared" si="128"/>
        <v>0</v>
      </c>
      <c r="AF754" s="117">
        <f t="shared" si="128"/>
        <v>0</v>
      </c>
      <c r="AG754" s="117">
        <f t="shared" si="128"/>
        <v>0</v>
      </c>
      <c r="AH754" s="117">
        <f t="shared" si="128"/>
        <v>0</v>
      </c>
      <c r="AI754" s="117">
        <f t="shared" si="128"/>
        <v>0</v>
      </c>
      <c r="AJ754" s="117">
        <f>SUBTOTAL(9,AJ742:AJ753)</f>
        <v>1301.4376399999999</v>
      </c>
      <c r="AK754" s="117">
        <f t="shared" si="128"/>
        <v>0</v>
      </c>
      <c r="AL754" s="117">
        <f t="shared" si="128"/>
        <v>0</v>
      </c>
      <c r="AM754" s="117">
        <f t="shared" si="128"/>
        <v>0</v>
      </c>
      <c r="AN754" s="117">
        <f t="shared" si="128"/>
        <v>34.2</v>
      </c>
      <c r="AO754" s="117">
        <f t="shared" si="128"/>
        <v>0</v>
      </c>
      <c r="AP754" s="117">
        <f t="shared" si="128"/>
        <v>0</v>
      </c>
      <c r="AQ754" s="117">
        <f t="shared" si="128"/>
        <v>0</v>
      </c>
      <c r="AR754" s="117">
        <f t="shared" si="128"/>
        <v>0</v>
      </c>
      <c r="AS754" s="117">
        <f t="shared" si="128"/>
        <v>0</v>
      </c>
      <c r="AT754" s="117">
        <f t="shared" si="128"/>
        <v>0</v>
      </c>
      <c r="AU754" s="117">
        <f t="shared" si="128"/>
        <v>0</v>
      </c>
      <c r="AV754" s="117">
        <f t="shared" si="128"/>
        <v>615.68</v>
      </c>
      <c r="AW754" s="117">
        <f t="shared" si="128"/>
        <v>0</v>
      </c>
      <c r="AX754" s="117">
        <f t="shared" si="128"/>
        <v>0</v>
      </c>
      <c r="AY754" s="117">
        <f t="shared" si="128"/>
        <v>0</v>
      </c>
      <c r="AZ754" s="117">
        <f t="shared" si="128"/>
        <v>759.465</v>
      </c>
      <c r="BA754" s="117">
        <f t="shared" si="128"/>
        <v>0</v>
      </c>
      <c r="BB754" s="117">
        <f t="shared" si="128"/>
        <v>0</v>
      </c>
      <c r="BC754" s="117">
        <f t="shared" si="128"/>
        <v>3622.740550000001</v>
      </c>
      <c r="BD754" s="117">
        <f t="shared" si="128"/>
        <v>3552.72643</v>
      </c>
      <c r="BE754" s="117">
        <f t="shared" si="128"/>
        <v>0</v>
      </c>
      <c r="BF754" s="117">
        <f t="shared" si="128"/>
        <v>0</v>
      </c>
      <c r="BG754" s="117">
        <f t="shared" si="128"/>
        <v>0</v>
      </c>
      <c r="BH754" s="117">
        <f t="shared" si="128"/>
        <v>0</v>
      </c>
      <c r="BI754" s="117">
        <f t="shared" si="128"/>
        <v>0</v>
      </c>
      <c r="BJ754" s="117">
        <f t="shared" si="128"/>
        <v>4217.47973</v>
      </c>
      <c r="BK754" s="117"/>
      <c r="BL754" s="117">
        <f aca="true" t="shared" si="129" ref="BL754:BU754">SUBTOTAL(9,BL742:BL753)</f>
        <v>0</v>
      </c>
      <c r="BM754" s="117">
        <f t="shared" si="129"/>
        <v>0</v>
      </c>
      <c r="BN754" s="117">
        <f t="shared" si="129"/>
        <v>1248.41371</v>
      </c>
      <c r="BO754" s="117">
        <f t="shared" si="129"/>
        <v>0</v>
      </c>
      <c r="BP754" s="117">
        <f t="shared" si="129"/>
        <v>0</v>
      </c>
      <c r="BQ754" s="117">
        <f t="shared" si="129"/>
        <v>0</v>
      </c>
      <c r="BR754" s="117">
        <f t="shared" si="129"/>
        <v>0</v>
      </c>
      <c r="BS754" s="117">
        <f t="shared" si="129"/>
        <v>0</v>
      </c>
      <c r="BT754" s="117">
        <f t="shared" si="129"/>
        <v>0</v>
      </c>
      <c r="BU754" s="117">
        <f t="shared" si="129"/>
        <v>0</v>
      </c>
    </row>
    <row r="755" spans="1:73" ht="34.5" customHeight="1" outlineLevel="2">
      <c r="A755" s="2" t="s">
        <v>768</v>
      </c>
      <c r="B755" s="33" t="s">
        <v>278</v>
      </c>
      <c r="C755" s="4" t="s">
        <v>1496</v>
      </c>
      <c r="D755" s="230" t="s">
        <v>508</v>
      </c>
      <c r="E755" s="203" t="s">
        <v>2553</v>
      </c>
      <c r="F755" s="108">
        <f t="shared" si="125"/>
        <v>78.31885</v>
      </c>
      <c r="G755" s="106">
        <f>I755+K755+O755+S755+U755+W755+Y755+AA755+AC755+AE755+AR755+AX755+BC755+BG755+BP755+BR755+BT755+AO755</f>
        <v>39.54326</v>
      </c>
      <c r="H755" s="106">
        <f>J755+L755+M755+N755+P755+Q755+R755+T755+V755+X755+Z755+AB755+AD755+AF755+AG755+AJ755+AL755+AS755+AT755+AU755+AV755+AW755+AY755+AZ755+BA755+BB755+BD755+BE755+BF755+BH755+BI755+BJ755+BL755+BM755+BN755+BO755+BQ755+BS755+BU755+AH755+AI755+AK755+AM755+AN755+AP755+AQ755+BK755</f>
        <v>38.77559</v>
      </c>
      <c r="I755" s="119"/>
      <c r="J755" s="119"/>
      <c r="K755" s="119"/>
      <c r="L755" s="119"/>
      <c r="M755" s="119"/>
      <c r="N755" s="119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19"/>
      <c r="Z755" s="119"/>
      <c r="AA755" s="163"/>
      <c r="AB755" s="120"/>
      <c r="AC755" s="119"/>
      <c r="AD755" s="119"/>
      <c r="AE755" s="119"/>
      <c r="AF755" s="119"/>
      <c r="AG755" s="119"/>
      <c r="AH755" s="119"/>
      <c r="AI755" s="119"/>
      <c r="AJ755" s="108">
        <v>0</v>
      </c>
      <c r="AK755" s="119"/>
      <c r="AL755" s="119"/>
      <c r="AM755" s="119"/>
      <c r="AN755" s="119"/>
      <c r="AO755" s="119"/>
      <c r="AP755" s="119"/>
      <c r="AQ755" s="119"/>
      <c r="AR755" s="119"/>
      <c r="AS755" s="119"/>
      <c r="AT755" s="119"/>
      <c r="AU755" s="119"/>
      <c r="AV755" s="119"/>
      <c r="AW755" s="119"/>
      <c r="AX755" s="119"/>
      <c r="AY755" s="120"/>
      <c r="AZ755" s="119"/>
      <c r="BA755" s="119"/>
      <c r="BB755" s="119"/>
      <c r="BC755" s="119">
        <v>39.54326</v>
      </c>
      <c r="BD755" s="119">
        <v>38.77559</v>
      </c>
      <c r="BE755" s="119"/>
      <c r="BF755" s="119"/>
      <c r="BG755" s="119"/>
      <c r="BH755" s="119"/>
      <c r="BI755" s="119"/>
      <c r="BJ755" s="119"/>
      <c r="BK755" s="119"/>
      <c r="BL755" s="119"/>
      <c r="BM755" s="119"/>
      <c r="BN755" s="119"/>
      <c r="BO755" s="119"/>
      <c r="BP755" s="119"/>
      <c r="BQ755" s="121"/>
      <c r="BR755" s="121"/>
      <c r="BS755" s="121"/>
      <c r="BT755" s="121"/>
      <c r="BU755" s="140"/>
    </row>
    <row r="756" spans="1:73" ht="42" customHeight="1" outlineLevel="2">
      <c r="A756" s="35" t="s">
        <v>768</v>
      </c>
      <c r="B756" s="37" t="s">
        <v>769</v>
      </c>
      <c r="C756" s="20" t="s">
        <v>1496</v>
      </c>
      <c r="D756" s="218" t="s">
        <v>770</v>
      </c>
      <c r="E756" s="203" t="s">
        <v>2554</v>
      </c>
      <c r="F756" s="108">
        <f t="shared" si="125"/>
        <v>549.21227</v>
      </c>
      <c r="G756" s="106">
        <f aca="true" t="shared" si="130" ref="G756:G764">I756+K756+O756+S756+U756+W756+Y756+AA756+AC756+AE756+AR756+AX756+BC756+BG756+BP756+BR756+BT756+AO756</f>
        <v>254.25341</v>
      </c>
      <c r="H756" s="106">
        <f aca="true" t="shared" si="131" ref="H756:H764">J756+L756+M756+N756+P756+Q756+R756+T756+V756+X756+Z756+AB756+AD756+AF756+AG756+AJ756+AL756+AS756+AT756+AU756+AV756+AW756+AY756+AZ756+BA756+BB756+BD756+BE756+BF756+BH756+BI756+BJ756+BL756+BM756+BN756+BO756+BQ756+BS756+BU756+AH756+AI756+AK756+AM756+AN756+AP756+AQ756+BK756</f>
        <v>294.95885999999996</v>
      </c>
      <c r="I756" s="107"/>
      <c r="J756" s="107"/>
      <c r="K756" s="107"/>
      <c r="L756" s="107"/>
      <c r="M756" s="107">
        <v>73.04051</v>
      </c>
      <c r="N756" s="107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7"/>
      <c r="Z756" s="107"/>
      <c r="AA756" s="159">
        <v>108.74841</v>
      </c>
      <c r="AB756" s="106">
        <v>79.22924</v>
      </c>
      <c r="AC756" s="107"/>
      <c r="AD756" s="107"/>
      <c r="AE756" s="107"/>
      <c r="AF756" s="107"/>
      <c r="AG756" s="107"/>
      <c r="AH756" s="107"/>
      <c r="AI756" s="107"/>
      <c r="AJ756" s="108">
        <v>0</v>
      </c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7"/>
      <c r="AV756" s="107"/>
      <c r="AW756" s="107"/>
      <c r="AX756" s="107"/>
      <c r="AY756" s="106"/>
      <c r="AZ756" s="107"/>
      <c r="BA756" s="107"/>
      <c r="BB756" s="107"/>
      <c r="BC756" s="107">
        <v>145.505</v>
      </c>
      <c r="BD756" s="107">
        <v>142.68911</v>
      </c>
      <c r="BE756" s="107"/>
      <c r="BF756" s="107"/>
      <c r="BG756" s="107"/>
      <c r="BH756" s="107"/>
      <c r="BI756" s="107"/>
      <c r="BJ756" s="107"/>
      <c r="BK756" s="107"/>
      <c r="BL756" s="107"/>
      <c r="BM756" s="107"/>
      <c r="BN756" s="107"/>
      <c r="BO756" s="107"/>
      <c r="BP756" s="107"/>
      <c r="BQ756" s="109"/>
      <c r="BR756" s="109"/>
      <c r="BS756" s="109"/>
      <c r="BT756" s="109"/>
      <c r="BU756" s="138"/>
    </row>
    <row r="757" spans="1:73" ht="45.75" customHeight="1" outlineLevel="2">
      <c r="A757" s="35" t="s">
        <v>768</v>
      </c>
      <c r="B757" s="37" t="s">
        <v>297</v>
      </c>
      <c r="C757" s="20" t="s">
        <v>1496</v>
      </c>
      <c r="D757" s="218" t="s">
        <v>771</v>
      </c>
      <c r="E757" s="203" t="s">
        <v>2555</v>
      </c>
      <c r="F757" s="108">
        <f t="shared" si="125"/>
        <v>3669.8376799999996</v>
      </c>
      <c r="G757" s="106">
        <f t="shared" si="130"/>
        <v>2220.89725</v>
      </c>
      <c r="H757" s="106">
        <f t="shared" si="131"/>
        <v>1448.9404299999999</v>
      </c>
      <c r="I757" s="107"/>
      <c r="J757" s="107"/>
      <c r="K757" s="107">
        <v>923.37657</v>
      </c>
      <c r="L757" s="107">
        <v>163.72229</v>
      </c>
      <c r="M757" s="107"/>
      <c r="N757" s="107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7">
        <v>50.16</v>
      </c>
      <c r="Z757" s="107">
        <v>131.769</v>
      </c>
      <c r="AA757" s="159">
        <v>436.18432</v>
      </c>
      <c r="AB757" s="106">
        <v>277.30233</v>
      </c>
      <c r="AC757" s="107"/>
      <c r="AD757" s="107"/>
      <c r="AE757" s="107"/>
      <c r="AF757" s="107"/>
      <c r="AG757" s="107"/>
      <c r="AH757" s="107"/>
      <c r="AI757" s="107"/>
      <c r="AJ757" s="108">
        <v>80.658</v>
      </c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7"/>
      <c r="AV757" s="107"/>
      <c r="AW757" s="107"/>
      <c r="AX757" s="107"/>
      <c r="AY757" s="106"/>
      <c r="AZ757" s="107"/>
      <c r="BA757" s="107"/>
      <c r="BB757" s="107"/>
      <c r="BC757" s="107">
        <v>811.17636</v>
      </c>
      <c r="BD757" s="107">
        <v>795.48881</v>
      </c>
      <c r="BE757" s="107"/>
      <c r="BF757" s="107"/>
      <c r="BG757" s="107"/>
      <c r="BH757" s="107"/>
      <c r="BI757" s="107"/>
      <c r="BJ757" s="107"/>
      <c r="BK757" s="107"/>
      <c r="BL757" s="107"/>
      <c r="BM757" s="107"/>
      <c r="BN757" s="107"/>
      <c r="BO757" s="107"/>
      <c r="BP757" s="107"/>
      <c r="BQ757" s="109"/>
      <c r="BR757" s="109"/>
      <c r="BS757" s="109"/>
      <c r="BT757" s="109"/>
      <c r="BU757" s="138"/>
    </row>
    <row r="758" spans="1:73" ht="34.5" customHeight="1" outlineLevel="2">
      <c r="A758" s="35" t="s">
        <v>768</v>
      </c>
      <c r="B758" s="37" t="s">
        <v>568</v>
      </c>
      <c r="C758" s="20" t="s">
        <v>1496</v>
      </c>
      <c r="D758" s="218" t="s">
        <v>510</v>
      </c>
      <c r="E758" s="203" t="s">
        <v>2556</v>
      </c>
      <c r="F758" s="108">
        <f t="shared" si="125"/>
        <v>62.57946</v>
      </c>
      <c r="G758" s="106">
        <f t="shared" si="130"/>
        <v>31.59643</v>
      </c>
      <c r="H758" s="106">
        <f t="shared" si="131"/>
        <v>30.98303</v>
      </c>
      <c r="I758" s="107"/>
      <c r="J758" s="107"/>
      <c r="K758" s="107"/>
      <c r="L758" s="107"/>
      <c r="M758" s="107"/>
      <c r="N758" s="107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7"/>
      <c r="Z758" s="107"/>
      <c r="AA758" s="159"/>
      <c r="AB758" s="106"/>
      <c r="AC758" s="107"/>
      <c r="AD758" s="107"/>
      <c r="AE758" s="107"/>
      <c r="AF758" s="107"/>
      <c r="AG758" s="107"/>
      <c r="AH758" s="107"/>
      <c r="AI758" s="107"/>
      <c r="AJ758" s="108">
        <v>0</v>
      </c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7"/>
      <c r="AV758" s="107"/>
      <c r="AW758" s="107"/>
      <c r="AX758" s="107"/>
      <c r="AY758" s="106"/>
      <c r="AZ758" s="107"/>
      <c r="BA758" s="107"/>
      <c r="BB758" s="107"/>
      <c r="BC758" s="107">
        <v>31.59643</v>
      </c>
      <c r="BD758" s="107">
        <v>30.98303</v>
      </c>
      <c r="BE758" s="107"/>
      <c r="BF758" s="107"/>
      <c r="BG758" s="107"/>
      <c r="BH758" s="107"/>
      <c r="BI758" s="107"/>
      <c r="BJ758" s="107"/>
      <c r="BK758" s="107"/>
      <c r="BL758" s="107"/>
      <c r="BM758" s="107"/>
      <c r="BN758" s="107"/>
      <c r="BO758" s="107"/>
      <c r="BP758" s="107"/>
      <c r="BQ758" s="109"/>
      <c r="BR758" s="109"/>
      <c r="BS758" s="109"/>
      <c r="BT758" s="109"/>
      <c r="BU758" s="138"/>
    </row>
    <row r="759" spans="1:73" ht="61.5" customHeight="1" outlineLevel="2">
      <c r="A759" s="35" t="s">
        <v>768</v>
      </c>
      <c r="B759" s="37" t="s">
        <v>1158</v>
      </c>
      <c r="C759" s="20" t="s">
        <v>1496</v>
      </c>
      <c r="D759" s="218" t="s">
        <v>509</v>
      </c>
      <c r="E759" s="203" t="s">
        <v>2557</v>
      </c>
      <c r="F759" s="108">
        <f t="shared" si="125"/>
        <v>264.55794</v>
      </c>
      <c r="G759" s="106">
        <f t="shared" si="130"/>
        <v>54.1558</v>
      </c>
      <c r="H759" s="106">
        <f t="shared" si="131"/>
        <v>210.40213999999997</v>
      </c>
      <c r="I759" s="107"/>
      <c r="J759" s="107"/>
      <c r="K759" s="107"/>
      <c r="L759" s="107"/>
      <c r="M759" s="107"/>
      <c r="N759" s="107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7"/>
      <c r="Z759" s="107"/>
      <c r="AA759" s="106"/>
      <c r="AB759" s="106"/>
      <c r="AC759" s="107"/>
      <c r="AD759" s="107"/>
      <c r="AE759" s="107"/>
      <c r="AF759" s="107"/>
      <c r="AG759" s="107"/>
      <c r="AH759" s="107"/>
      <c r="AI759" s="107"/>
      <c r="AJ759" s="108">
        <v>0</v>
      </c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7"/>
      <c r="AV759" s="107"/>
      <c r="AW759" s="107"/>
      <c r="AX759" s="107"/>
      <c r="AY759" s="106"/>
      <c r="AZ759" s="107"/>
      <c r="BA759" s="107"/>
      <c r="BB759" s="107"/>
      <c r="BC759" s="107">
        <v>54.1558</v>
      </c>
      <c r="BD759" s="107">
        <v>53.10525</v>
      </c>
      <c r="BE759" s="107"/>
      <c r="BF759" s="107"/>
      <c r="BG759" s="107"/>
      <c r="BH759" s="107"/>
      <c r="BI759" s="107"/>
      <c r="BJ759" s="107">
        <v>157.29689</v>
      </c>
      <c r="BK759" s="107"/>
      <c r="BL759" s="107"/>
      <c r="BM759" s="107"/>
      <c r="BN759" s="107"/>
      <c r="BO759" s="107"/>
      <c r="BP759" s="107"/>
      <c r="BQ759" s="109"/>
      <c r="BR759" s="109"/>
      <c r="BS759" s="109"/>
      <c r="BT759" s="109"/>
      <c r="BU759" s="138"/>
    </row>
    <row r="760" spans="1:73" ht="40.5" outlineLevel="2">
      <c r="A760" s="35" t="s">
        <v>768</v>
      </c>
      <c r="B760" s="37" t="s">
        <v>1752</v>
      </c>
      <c r="C760" s="20" t="s">
        <v>587</v>
      </c>
      <c r="D760" s="218" t="s">
        <v>2804</v>
      </c>
      <c r="E760" s="220" t="s">
        <v>2552</v>
      </c>
      <c r="F760" s="108">
        <f t="shared" si="125"/>
        <v>106.122</v>
      </c>
      <c r="G760" s="106">
        <f t="shared" si="130"/>
        <v>0</v>
      </c>
      <c r="H760" s="106">
        <f t="shared" si="131"/>
        <v>106.122</v>
      </c>
      <c r="I760" s="107"/>
      <c r="J760" s="107"/>
      <c r="K760" s="107"/>
      <c r="L760" s="107"/>
      <c r="M760" s="107"/>
      <c r="N760" s="107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7"/>
      <c r="Z760" s="107"/>
      <c r="AA760" s="106"/>
      <c r="AB760" s="106"/>
      <c r="AC760" s="107"/>
      <c r="AD760" s="107"/>
      <c r="AE760" s="107"/>
      <c r="AF760" s="107"/>
      <c r="AG760" s="107"/>
      <c r="AH760" s="107"/>
      <c r="AI760" s="107"/>
      <c r="AJ760" s="108">
        <v>0</v>
      </c>
      <c r="AK760" s="107"/>
      <c r="AL760" s="107"/>
      <c r="AM760" s="107"/>
      <c r="AN760" s="107">
        <v>106.122</v>
      </c>
      <c r="AO760" s="107"/>
      <c r="AP760" s="107"/>
      <c r="AQ760" s="107"/>
      <c r="AR760" s="107"/>
      <c r="AS760" s="107"/>
      <c r="AT760" s="107"/>
      <c r="AU760" s="107"/>
      <c r="AV760" s="107"/>
      <c r="AW760" s="107"/>
      <c r="AX760" s="107"/>
      <c r="AY760" s="106"/>
      <c r="AZ760" s="107"/>
      <c r="BA760" s="107"/>
      <c r="BB760" s="107"/>
      <c r="BC760" s="107"/>
      <c r="BD760" s="107"/>
      <c r="BE760" s="107"/>
      <c r="BF760" s="107"/>
      <c r="BG760" s="107"/>
      <c r="BH760" s="107"/>
      <c r="BI760" s="107"/>
      <c r="BJ760" s="107"/>
      <c r="BK760" s="107"/>
      <c r="BL760" s="107"/>
      <c r="BM760" s="107"/>
      <c r="BN760" s="107"/>
      <c r="BO760" s="107"/>
      <c r="BP760" s="107"/>
      <c r="BQ760" s="109"/>
      <c r="BR760" s="109"/>
      <c r="BS760" s="109"/>
      <c r="BT760" s="109"/>
      <c r="BU760" s="138"/>
    </row>
    <row r="761" spans="1:73" ht="31.5" customHeight="1" outlineLevel="2">
      <c r="A761" s="35" t="s">
        <v>768</v>
      </c>
      <c r="B761" s="37" t="s">
        <v>296</v>
      </c>
      <c r="C761" s="20" t="s">
        <v>1496</v>
      </c>
      <c r="D761" s="218" t="s">
        <v>715</v>
      </c>
      <c r="E761" s="203" t="s">
        <v>2558</v>
      </c>
      <c r="F761" s="108">
        <f t="shared" si="125"/>
        <v>312.67404999999997</v>
      </c>
      <c r="G761" s="106">
        <f t="shared" si="130"/>
        <v>163.04824</v>
      </c>
      <c r="H761" s="106">
        <f t="shared" si="131"/>
        <v>149.62581</v>
      </c>
      <c r="I761" s="107"/>
      <c r="J761" s="107"/>
      <c r="K761" s="107"/>
      <c r="L761" s="107"/>
      <c r="M761" s="107"/>
      <c r="N761" s="107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7"/>
      <c r="Z761" s="107"/>
      <c r="AA761" s="159">
        <v>30.65991</v>
      </c>
      <c r="AB761" s="106">
        <v>19.80731</v>
      </c>
      <c r="AC761" s="107"/>
      <c r="AD761" s="107"/>
      <c r="AE761" s="107"/>
      <c r="AF761" s="107"/>
      <c r="AG761" s="107"/>
      <c r="AH761" s="107"/>
      <c r="AI761" s="107"/>
      <c r="AJ761" s="108">
        <v>0</v>
      </c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7"/>
      <c r="AV761" s="107"/>
      <c r="AW761" s="107"/>
      <c r="AX761" s="107"/>
      <c r="AY761" s="106"/>
      <c r="AZ761" s="107"/>
      <c r="BA761" s="107"/>
      <c r="BB761" s="107"/>
      <c r="BC761" s="107">
        <v>132.38833</v>
      </c>
      <c r="BD761" s="107">
        <v>129.8185</v>
      </c>
      <c r="BE761" s="107"/>
      <c r="BF761" s="107"/>
      <c r="BG761" s="107"/>
      <c r="BH761" s="107"/>
      <c r="BI761" s="107"/>
      <c r="BJ761" s="107"/>
      <c r="BK761" s="107"/>
      <c r="BL761" s="107"/>
      <c r="BM761" s="107"/>
      <c r="BN761" s="107"/>
      <c r="BO761" s="107"/>
      <c r="BP761" s="107"/>
      <c r="BQ761" s="109"/>
      <c r="BR761" s="109"/>
      <c r="BS761" s="109"/>
      <c r="BT761" s="109"/>
      <c r="BU761" s="138"/>
    </row>
    <row r="762" spans="1:73" ht="33.75" customHeight="1" outlineLevel="2">
      <c r="A762" s="35" t="s">
        <v>768</v>
      </c>
      <c r="B762" s="37" t="s">
        <v>567</v>
      </c>
      <c r="C762" s="20" t="s">
        <v>1496</v>
      </c>
      <c r="D762" s="218" t="s">
        <v>507</v>
      </c>
      <c r="E762" s="203" t="s">
        <v>2559</v>
      </c>
      <c r="F762" s="108">
        <f t="shared" si="125"/>
        <v>381.36107000000004</v>
      </c>
      <c r="G762" s="106">
        <f t="shared" si="130"/>
        <v>134.80425</v>
      </c>
      <c r="H762" s="106">
        <f t="shared" si="131"/>
        <v>246.55682000000002</v>
      </c>
      <c r="I762" s="107"/>
      <c r="J762" s="107"/>
      <c r="K762" s="107"/>
      <c r="L762" s="107"/>
      <c r="M762" s="107"/>
      <c r="N762" s="107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7"/>
      <c r="Z762" s="107"/>
      <c r="AA762" s="159">
        <v>28.93343</v>
      </c>
      <c r="AB762" s="106">
        <v>29.71096</v>
      </c>
      <c r="AC762" s="107"/>
      <c r="AD762" s="107"/>
      <c r="AE762" s="107"/>
      <c r="AF762" s="107"/>
      <c r="AG762" s="107"/>
      <c r="AH762" s="107"/>
      <c r="AI762" s="107"/>
      <c r="AJ762" s="108">
        <v>0</v>
      </c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7"/>
      <c r="AV762" s="107"/>
      <c r="AW762" s="107"/>
      <c r="AX762" s="107"/>
      <c r="AY762" s="106"/>
      <c r="AZ762" s="107"/>
      <c r="BA762" s="107">
        <v>113.0262</v>
      </c>
      <c r="BB762" s="107"/>
      <c r="BC762" s="107">
        <v>105.87082</v>
      </c>
      <c r="BD762" s="107">
        <v>103.81966</v>
      </c>
      <c r="BE762" s="107"/>
      <c r="BF762" s="107"/>
      <c r="BG762" s="107"/>
      <c r="BH762" s="107"/>
      <c r="BI762" s="107"/>
      <c r="BJ762" s="107"/>
      <c r="BK762" s="107"/>
      <c r="BL762" s="107"/>
      <c r="BM762" s="107"/>
      <c r="BN762" s="107"/>
      <c r="BO762" s="107"/>
      <c r="BP762" s="107"/>
      <c r="BQ762" s="109"/>
      <c r="BR762" s="109"/>
      <c r="BS762" s="109"/>
      <c r="BT762" s="109"/>
      <c r="BU762" s="138"/>
    </row>
    <row r="763" spans="1:73" ht="36" customHeight="1" outlineLevel="2">
      <c r="A763" s="35" t="s">
        <v>768</v>
      </c>
      <c r="B763" s="37" t="s">
        <v>591</v>
      </c>
      <c r="C763" s="20" t="s">
        <v>1496</v>
      </c>
      <c r="D763" s="218" t="s">
        <v>592</v>
      </c>
      <c r="E763" s="203" t="s">
        <v>2561</v>
      </c>
      <c r="F763" s="108">
        <f t="shared" si="125"/>
        <v>1222.71027</v>
      </c>
      <c r="G763" s="106">
        <f t="shared" si="130"/>
        <v>564.99642</v>
      </c>
      <c r="H763" s="106">
        <f t="shared" si="131"/>
        <v>657.71385</v>
      </c>
      <c r="I763" s="107"/>
      <c r="J763" s="107"/>
      <c r="K763" s="107"/>
      <c r="L763" s="107"/>
      <c r="M763" s="107"/>
      <c r="N763" s="107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7"/>
      <c r="Z763" s="107"/>
      <c r="AA763" s="159">
        <v>244.48548</v>
      </c>
      <c r="AB763" s="106">
        <v>138.65116</v>
      </c>
      <c r="AC763" s="107"/>
      <c r="AD763" s="107"/>
      <c r="AE763" s="107"/>
      <c r="AF763" s="107"/>
      <c r="AG763" s="107"/>
      <c r="AH763" s="107"/>
      <c r="AI763" s="107"/>
      <c r="AJ763" s="108">
        <v>24.1974</v>
      </c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7"/>
      <c r="AV763" s="107"/>
      <c r="AW763" s="107"/>
      <c r="AX763" s="107"/>
      <c r="AY763" s="106"/>
      <c r="AZ763" s="107">
        <v>39.96</v>
      </c>
      <c r="BA763" s="107"/>
      <c r="BB763" s="107"/>
      <c r="BC763" s="107">
        <v>320.51094</v>
      </c>
      <c r="BD763" s="107">
        <v>314.31383</v>
      </c>
      <c r="BE763" s="107">
        <v>101.3</v>
      </c>
      <c r="BF763" s="107"/>
      <c r="BG763" s="107"/>
      <c r="BH763" s="107"/>
      <c r="BI763" s="107"/>
      <c r="BJ763" s="107">
        <v>39.29146</v>
      </c>
      <c r="BK763" s="107"/>
      <c r="BL763" s="107"/>
      <c r="BM763" s="107"/>
      <c r="BN763" s="107"/>
      <c r="BO763" s="107"/>
      <c r="BP763" s="107"/>
      <c r="BQ763" s="109"/>
      <c r="BR763" s="109"/>
      <c r="BS763" s="109"/>
      <c r="BT763" s="109"/>
      <c r="BU763" s="138"/>
    </row>
    <row r="764" spans="1:73" ht="33.75" customHeight="1" outlineLevel="2" thickBot="1">
      <c r="A764" s="35" t="s">
        <v>768</v>
      </c>
      <c r="B764" s="37" t="s">
        <v>380</v>
      </c>
      <c r="C764" s="20" t="s">
        <v>934</v>
      </c>
      <c r="D764" s="218" t="s">
        <v>1594</v>
      </c>
      <c r="E764" s="203" t="s">
        <v>2560</v>
      </c>
      <c r="F764" s="108">
        <f t="shared" si="125"/>
        <v>74.4674</v>
      </c>
      <c r="G764" s="106">
        <f t="shared" si="130"/>
        <v>0</v>
      </c>
      <c r="H764" s="106">
        <f t="shared" si="131"/>
        <v>74.4674</v>
      </c>
      <c r="I764" s="107"/>
      <c r="J764" s="107"/>
      <c r="K764" s="107"/>
      <c r="L764" s="107"/>
      <c r="M764" s="107"/>
      <c r="N764" s="107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7"/>
      <c r="Z764" s="107"/>
      <c r="AA764" s="159"/>
      <c r="AB764" s="106"/>
      <c r="AC764" s="107"/>
      <c r="AD764" s="107"/>
      <c r="AE764" s="107"/>
      <c r="AF764" s="107"/>
      <c r="AG764" s="107"/>
      <c r="AH764" s="107"/>
      <c r="AI764" s="107"/>
      <c r="AJ764" s="108">
        <v>0</v>
      </c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7"/>
      <c r="AV764" s="107"/>
      <c r="AW764" s="107"/>
      <c r="AX764" s="107"/>
      <c r="AY764" s="106"/>
      <c r="AZ764" s="107"/>
      <c r="BA764" s="107"/>
      <c r="BB764" s="107"/>
      <c r="BC764" s="107"/>
      <c r="BD764" s="107"/>
      <c r="BE764" s="107"/>
      <c r="BF764" s="107"/>
      <c r="BG764" s="107"/>
      <c r="BH764" s="107"/>
      <c r="BI764" s="107"/>
      <c r="BJ764" s="107"/>
      <c r="BK764" s="107"/>
      <c r="BL764" s="107"/>
      <c r="BM764" s="107"/>
      <c r="BN764" s="107">
        <v>74.4674</v>
      </c>
      <c r="BO764" s="107"/>
      <c r="BP764" s="107"/>
      <c r="BQ764" s="109"/>
      <c r="BR764" s="109"/>
      <c r="BS764" s="109"/>
      <c r="BT764" s="109"/>
      <c r="BU764" s="138"/>
    </row>
    <row r="765" spans="1:73" s="72" customFormat="1" ht="21" outlineLevel="1" thickBot="1">
      <c r="A765" s="69" t="s">
        <v>1559</v>
      </c>
      <c r="B765" s="70"/>
      <c r="C765" s="71" t="s">
        <v>1572</v>
      </c>
      <c r="D765" s="237"/>
      <c r="E765" s="267"/>
      <c r="F765" s="117">
        <f aca="true" t="shared" si="132" ref="F765:AV765">SUBTOTAL(9,F755:F764)</f>
        <v>6721.840989999999</v>
      </c>
      <c r="G765" s="117">
        <f t="shared" si="132"/>
        <v>3463.2950600000004</v>
      </c>
      <c r="H765" s="117">
        <f t="shared" si="132"/>
        <v>3258.5459299999998</v>
      </c>
      <c r="I765" s="117">
        <f t="shared" si="132"/>
        <v>0</v>
      </c>
      <c r="J765" s="117">
        <f t="shared" si="132"/>
        <v>0</v>
      </c>
      <c r="K765" s="117">
        <f t="shared" si="132"/>
        <v>923.37657</v>
      </c>
      <c r="L765" s="117">
        <f t="shared" si="132"/>
        <v>163.72229</v>
      </c>
      <c r="M765" s="117">
        <f t="shared" si="132"/>
        <v>73.04051</v>
      </c>
      <c r="N765" s="117">
        <f t="shared" si="132"/>
        <v>0</v>
      </c>
      <c r="O765" s="117">
        <f t="shared" si="132"/>
        <v>0</v>
      </c>
      <c r="P765" s="117">
        <f t="shared" si="132"/>
        <v>0</v>
      </c>
      <c r="Q765" s="117">
        <f t="shared" si="132"/>
        <v>0</v>
      </c>
      <c r="R765" s="117">
        <f t="shared" si="132"/>
        <v>0</v>
      </c>
      <c r="S765" s="117">
        <f t="shared" si="132"/>
        <v>0</v>
      </c>
      <c r="T765" s="117">
        <f t="shared" si="132"/>
        <v>0</v>
      </c>
      <c r="U765" s="117">
        <f t="shared" si="132"/>
        <v>0</v>
      </c>
      <c r="V765" s="117">
        <f t="shared" si="132"/>
        <v>0</v>
      </c>
      <c r="W765" s="117">
        <f t="shared" si="132"/>
        <v>0</v>
      </c>
      <c r="X765" s="117">
        <f t="shared" si="132"/>
        <v>0</v>
      </c>
      <c r="Y765" s="117">
        <f t="shared" si="132"/>
        <v>50.16</v>
      </c>
      <c r="Z765" s="117">
        <f t="shared" si="132"/>
        <v>131.769</v>
      </c>
      <c r="AA765" s="117">
        <f t="shared" si="132"/>
        <v>849.0115499999999</v>
      </c>
      <c r="AB765" s="117">
        <f t="shared" si="132"/>
        <v>544.701</v>
      </c>
      <c r="AC765" s="117">
        <f t="shared" si="132"/>
        <v>0</v>
      </c>
      <c r="AD765" s="117">
        <f t="shared" si="132"/>
        <v>0</v>
      </c>
      <c r="AE765" s="117">
        <f t="shared" si="132"/>
        <v>0</v>
      </c>
      <c r="AF765" s="117">
        <f t="shared" si="132"/>
        <v>0</v>
      </c>
      <c r="AG765" s="117">
        <f t="shared" si="132"/>
        <v>0</v>
      </c>
      <c r="AH765" s="117">
        <f t="shared" si="132"/>
        <v>0</v>
      </c>
      <c r="AI765" s="117">
        <f t="shared" si="132"/>
        <v>0</v>
      </c>
      <c r="AJ765" s="117">
        <f>SUBTOTAL(9,AJ755:AJ764)</f>
        <v>104.8554</v>
      </c>
      <c r="AK765" s="117">
        <f t="shared" si="132"/>
        <v>0</v>
      </c>
      <c r="AL765" s="117">
        <f t="shared" si="132"/>
        <v>0</v>
      </c>
      <c r="AM765" s="117">
        <f t="shared" si="132"/>
        <v>0</v>
      </c>
      <c r="AN765" s="117">
        <f t="shared" si="132"/>
        <v>106.122</v>
      </c>
      <c r="AO765" s="117">
        <f t="shared" si="132"/>
        <v>0</v>
      </c>
      <c r="AP765" s="117">
        <f t="shared" si="132"/>
        <v>0</v>
      </c>
      <c r="AQ765" s="117">
        <f t="shared" si="132"/>
        <v>0</v>
      </c>
      <c r="AR765" s="117">
        <f t="shared" si="132"/>
        <v>0</v>
      </c>
      <c r="AS765" s="117">
        <f t="shared" si="132"/>
        <v>0</v>
      </c>
      <c r="AT765" s="117">
        <f t="shared" si="132"/>
        <v>0</v>
      </c>
      <c r="AU765" s="117">
        <f t="shared" si="132"/>
        <v>0</v>
      </c>
      <c r="AV765" s="117">
        <f t="shared" si="132"/>
        <v>0</v>
      </c>
      <c r="AW765" s="117">
        <f aca="true" t="shared" si="133" ref="AW765:BU765">SUBTOTAL(9,AW755:AW764)</f>
        <v>0</v>
      </c>
      <c r="AX765" s="117">
        <f t="shared" si="133"/>
        <v>0</v>
      </c>
      <c r="AY765" s="117">
        <f t="shared" si="133"/>
        <v>0</v>
      </c>
      <c r="AZ765" s="117">
        <f t="shared" si="133"/>
        <v>39.96</v>
      </c>
      <c r="BA765" s="117">
        <f t="shared" si="133"/>
        <v>113.0262</v>
      </c>
      <c r="BB765" s="117">
        <f t="shared" si="133"/>
        <v>0</v>
      </c>
      <c r="BC765" s="117">
        <f t="shared" si="133"/>
        <v>1640.74694</v>
      </c>
      <c r="BD765" s="117">
        <f t="shared" si="133"/>
        <v>1608.9937800000002</v>
      </c>
      <c r="BE765" s="117">
        <f t="shared" si="133"/>
        <v>101.3</v>
      </c>
      <c r="BF765" s="117">
        <f t="shared" si="133"/>
        <v>0</v>
      </c>
      <c r="BG765" s="117">
        <f t="shared" si="133"/>
        <v>0</v>
      </c>
      <c r="BH765" s="117">
        <f t="shared" si="133"/>
        <v>0</v>
      </c>
      <c r="BI765" s="117">
        <f t="shared" si="133"/>
        <v>0</v>
      </c>
      <c r="BJ765" s="117">
        <f t="shared" si="133"/>
        <v>196.58835</v>
      </c>
      <c r="BK765" s="117"/>
      <c r="BL765" s="117">
        <f t="shared" si="133"/>
        <v>0</v>
      </c>
      <c r="BM765" s="117">
        <f t="shared" si="133"/>
        <v>0</v>
      </c>
      <c r="BN765" s="117">
        <f t="shared" si="133"/>
        <v>74.4674</v>
      </c>
      <c r="BO765" s="117">
        <f t="shared" si="133"/>
        <v>0</v>
      </c>
      <c r="BP765" s="117">
        <f t="shared" si="133"/>
        <v>0</v>
      </c>
      <c r="BQ765" s="117">
        <f t="shared" si="133"/>
        <v>0</v>
      </c>
      <c r="BR765" s="117">
        <f t="shared" si="133"/>
        <v>0</v>
      </c>
      <c r="BS765" s="117">
        <f t="shared" si="133"/>
        <v>0</v>
      </c>
      <c r="BT765" s="117">
        <f t="shared" si="133"/>
        <v>0</v>
      </c>
      <c r="BU765" s="117">
        <f t="shared" si="133"/>
        <v>0</v>
      </c>
    </row>
    <row r="766" spans="1:73" ht="32.25" customHeight="1" outlineLevel="2">
      <c r="A766" s="35" t="s">
        <v>1560</v>
      </c>
      <c r="B766" s="37" t="s">
        <v>92</v>
      </c>
      <c r="C766" s="20" t="s">
        <v>1496</v>
      </c>
      <c r="D766" s="225">
        <v>2448005615</v>
      </c>
      <c r="E766" s="203" t="s">
        <v>2562</v>
      </c>
      <c r="F766" s="108">
        <f t="shared" si="125"/>
        <v>237.47226</v>
      </c>
      <c r="G766" s="106">
        <f>I766+K766+O766+S766+U766+W766+Y766+AA766+AC766+AE766+AR766+AX766+BC766+BG766+BP766+BR766+BT766+AO766</f>
        <v>138.63601</v>
      </c>
      <c r="H766" s="106">
        <f>J766+L766+M766+N766+P766+Q766+R766+T766+V766+X766+Z766+AB766+AD766+AF766+AG766+AJ766+AL766+AS766+AT766+AU766+AV766+AW766+AY766+AZ766+BA766+BB766+BD766+BE766+BF766+BH766+BI766+BJ766+BL766+BM766+BN766+BO766+BQ766+BS766+BU766+AH766+AI766+AK766+AM766+AN766+AP766+AQ766+BK766</f>
        <v>98.83625</v>
      </c>
      <c r="I766" s="107"/>
      <c r="J766" s="107"/>
      <c r="K766" s="107"/>
      <c r="L766" s="107"/>
      <c r="M766" s="107"/>
      <c r="N766" s="107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7">
        <v>45.1136</v>
      </c>
      <c r="Z766" s="107"/>
      <c r="AA766" s="159">
        <v>39.89955</v>
      </c>
      <c r="AB766" s="106">
        <v>17.82658</v>
      </c>
      <c r="AC766" s="107"/>
      <c r="AD766" s="107"/>
      <c r="AE766" s="107"/>
      <c r="AF766" s="107"/>
      <c r="AG766" s="107"/>
      <c r="AH766" s="107"/>
      <c r="AI766" s="107"/>
      <c r="AJ766" s="108">
        <v>10.92992</v>
      </c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7"/>
      <c r="AV766" s="107"/>
      <c r="AW766" s="107"/>
      <c r="AX766" s="107"/>
      <c r="AY766" s="106"/>
      <c r="AZ766" s="107"/>
      <c r="BA766" s="107">
        <v>17.5</v>
      </c>
      <c r="BB766" s="107"/>
      <c r="BC766" s="107">
        <v>53.62286</v>
      </c>
      <c r="BD766" s="107">
        <v>52.57975</v>
      </c>
      <c r="BE766" s="107"/>
      <c r="BF766" s="107"/>
      <c r="BG766" s="107"/>
      <c r="BH766" s="107"/>
      <c r="BI766" s="107"/>
      <c r="BJ766" s="107"/>
      <c r="BK766" s="107"/>
      <c r="BL766" s="107"/>
      <c r="BM766" s="107"/>
      <c r="BN766" s="107"/>
      <c r="BO766" s="107"/>
      <c r="BP766" s="107"/>
      <c r="BQ766" s="109"/>
      <c r="BR766" s="109"/>
      <c r="BS766" s="109"/>
      <c r="BT766" s="109"/>
      <c r="BU766" s="138"/>
    </row>
    <row r="767" spans="1:73" ht="51.75" customHeight="1" outlineLevel="2">
      <c r="A767" s="35" t="s">
        <v>1560</v>
      </c>
      <c r="B767" s="37" t="s">
        <v>292</v>
      </c>
      <c r="C767" s="20" t="s">
        <v>1496</v>
      </c>
      <c r="D767" s="219" t="s">
        <v>1322</v>
      </c>
      <c r="E767" s="203" t="s">
        <v>2563</v>
      </c>
      <c r="F767" s="108">
        <f t="shared" si="125"/>
        <v>741.7443999999999</v>
      </c>
      <c r="G767" s="106">
        <f aca="true" t="shared" si="134" ref="G767:G792">I767+K767+O767+S767+U767+W767+Y767+AA767+AC767+AE767+AR767+AX767+BC767+BG767+BP767+BR767+BT767+AO767</f>
        <v>389.00222999999994</v>
      </c>
      <c r="H767" s="106">
        <f aca="true" t="shared" si="135" ref="H767:H792">J767+L767+M767+N767+P767+Q767+R767+T767+V767+X767+Z767+AB767+AD767+AF767+AG767+AJ767+AL767+AS767+AT767+AU767+AV767+AW767+AY767+AZ767+BA767+BB767+BD767+BE767+BF767+BH767+BI767+BJ767+BL767+BM767+BN767+BO767+BQ767+BS767+BU767+AH767+AI767+AK767+AM767+AN767+AP767+AQ767+BK767</f>
        <v>352.74217</v>
      </c>
      <c r="I767" s="107"/>
      <c r="J767" s="107"/>
      <c r="K767" s="107"/>
      <c r="L767" s="107"/>
      <c r="M767" s="107"/>
      <c r="N767" s="107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7"/>
      <c r="Z767" s="107"/>
      <c r="AA767" s="159">
        <v>130.2798</v>
      </c>
      <c r="AB767" s="106">
        <v>99.03655</v>
      </c>
      <c r="AC767" s="107"/>
      <c r="AD767" s="107"/>
      <c r="AE767" s="107"/>
      <c r="AF767" s="107"/>
      <c r="AG767" s="107"/>
      <c r="AH767" s="107"/>
      <c r="AI767" s="107"/>
      <c r="AJ767" s="108">
        <v>0</v>
      </c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7"/>
      <c r="AV767" s="107"/>
      <c r="AW767" s="107"/>
      <c r="AX767" s="107"/>
      <c r="AY767" s="106"/>
      <c r="AZ767" s="107"/>
      <c r="BA767" s="107"/>
      <c r="BB767" s="107"/>
      <c r="BC767" s="107">
        <v>258.72243</v>
      </c>
      <c r="BD767" s="107">
        <v>253.70562</v>
      </c>
      <c r="BE767" s="107"/>
      <c r="BF767" s="107"/>
      <c r="BG767" s="107"/>
      <c r="BH767" s="107"/>
      <c r="BI767" s="107"/>
      <c r="BJ767" s="107"/>
      <c r="BK767" s="107"/>
      <c r="BL767" s="107"/>
      <c r="BM767" s="107"/>
      <c r="BN767" s="107"/>
      <c r="BO767" s="107"/>
      <c r="BP767" s="107"/>
      <c r="BQ767" s="109"/>
      <c r="BR767" s="109"/>
      <c r="BS767" s="109"/>
      <c r="BT767" s="109"/>
      <c r="BU767" s="138"/>
    </row>
    <row r="768" spans="1:73" ht="36.75" customHeight="1" outlineLevel="2">
      <c r="A768" s="24" t="s">
        <v>1560</v>
      </c>
      <c r="B768" s="19" t="s">
        <v>1364</v>
      </c>
      <c r="C768" s="20" t="s">
        <v>1496</v>
      </c>
      <c r="D768" s="218" t="s">
        <v>1365</v>
      </c>
      <c r="E768" s="203" t="s">
        <v>2564</v>
      </c>
      <c r="F768" s="108">
        <f t="shared" si="125"/>
        <v>6319.977419999999</v>
      </c>
      <c r="G768" s="106">
        <f t="shared" si="134"/>
        <v>2910.13267</v>
      </c>
      <c r="H768" s="106">
        <f t="shared" si="135"/>
        <v>3409.8447499999997</v>
      </c>
      <c r="I768" s="107"/>
      <c r="J768" s="107"/>
      <c r="K768" s="107"/>
      <c r="L768" s="107"/>
      <c r="M768" s="107"/>
      <c r="N768" s="107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7">
        <v>68.4</v>
      </c>
      <c r="Z768" s="107"/>
      <c r="AA768" s="159">
        <v>1267.62941</v>
      </c>
      <c r="AB768" s="106">
        <v>944.21442</v>
      </c>
      <c r="AC768" s="107"/>
      <c r="AD768" s="107"/>
      <c r="AE768" s="107"/>
      <c r="AF768" s="107"/>
      <c r="AG768" s="107"/>
      <c r="AH768" s="107"/>
      <c r="AI768" s="107"/>
      <c r="AJ768" s="108">
        <v>612.21756</v>
      </c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7"/>
      <c r="AV768" s="107"/>
      <c r="AW768" s="107"/>
      <c r="AX768" s="107"/>
      <c r="AY768" s="106"/>
      <c r="AZ768" s="107"/>
      <c r="BA768" s="107"/>
      <c r="BB768" s="107"/>
      <c r="BC768" s="107">
        <v>1574.10326</v>
      </c>
      <c r="BD768" s="107">
        <v>1543.66869</v>
      </c>
      <c r="BE768" s="107">
        <v>234.24301</v>
      </c>
      <c r="BF768" s="107"/>
      <c r="BG768" s="107"/>
      <c r="BH768" s="107"/>
      <c r="BI768" s="107"/>
      <c r="BJ768" s="107"/>
      <c r="BK768" s="107"/>
      <c r="BL768" s="107"/>
      <c r="BM768" s="107">
        <v>75.50107</v>
      </c>
      <c r="BN768" s="107"/>
      <c r="BO768" s="107"/>
      <c r="BP768" s="107"/>
      <c r="BQ768" s="109"/>
      <c r="BR768" s="109"/>
      <c r="BS768" s="109"/>
      <c r="BT768" s="109"/>
      <c r="BU768" s="138"/>
    </row>
    <row r="769" spans="1:73" ht="36.75" customHeight="1" outlineLevel="2">
      <c r="A769" s="35" t="s">
        <v>1560</v>
      </c>
      <c r="B769" s="37" t="s">
        <v>295</v>
      </c>
      <c r="C769" s="20" t="s">
        <v>1496</v>
      </c>
      <c r="D769" s="218" t="s">
        <v>1304</v>
      </c>
      <c r="E769" s="203" t="s">
        <v>2805</v>
      </c>
      <c r="F769" s="108">
        <f t="shared" si="125"/>
        <v>4026.01258</v>
      </c>
      <c r="G769" s="106">
        <f t="shared" si="134"/>
        <v>581.4204199999999</v>
      </c>
      <c r="H769" s="106">
        <f t="shared" si="135"/>
        <v>3444.59216</v>
      </c>
      <c r="I769" s="107">
        <v>75.63288</v>
      </c>
      <c r="J769" s="107">
        <v>18.90822</v>
      </c>
      <c r="K769" s="107"/>
      <c r="L769" s="107"/>
      <c r="M769" s="107"/>
      <c r="N769" s="107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7"/>
      <c r="Z769" s="107">
        <v>95.832</v>
      </c>
      <c r="AA769" s="159"/>
      <c r="AB769" s="106"/>
      <c r="AC769" s="107"/>
      <c r="AD769" s="107"/>
      <c r="AE769" s="107"/>
      <c r="AF769" s="107"/>
      <c r="AG769" s="107"/>
      <c r="AH769" s="107"/>
      <c r="AI769" s="107"/>
      <c r="AJ769" s="108">
        <v>260.86928</v>
      </c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7"/>
      <c r="AV769" s="107"/>
      <c r="AW769" s="107"/>
      <c r="AX769" s="107"/>
      <c r="AY769" s="106"/>
      <c r="AZ769" s="107"/>
      <c r="BA769" s="107">
        <v>128.5193</v>
      </c>
      <c r="BB769" s="107"/>
      <c r="BC769" s="107">
        <v>505.78754</v>
      </c>
      <c r="BD769" s="107">
        <v>496.10795</v>
      </c>
      <c r="BE769" s="107">
        <v>33.3847</v>
      </c>
      <c r="BF769" s="107"/>
      <c r="BG769" s="107"/>
      <c r="BH769" s="107"/>
      <c r="BI769" s="107"/>
      <c r="BJ769" s="107">
        <v>2410.97071</v>
      </c>
      <c r="BK769" s="107"/>
      <c r="BL769" s="107"/>
      <c r="BM769" s="107"/>
      <c r="BN769" s="107"/>
      <c r="BO769" s="107"/>
      <c r="BP769" s="107"/>
      <c r="BQ769" s="109"/>
      <c r="BR769" s="109"/>
      <c r="BS769" s="109"/>
      <c r="BT769" s="109"/>
      <c r="BU769" s="138"/>
    </row>
    <row r="770" spans="1:73" ht="28.5" customHeight="1" outlineLevel="2">
      <c r="A770" s="35" t="s">
        <v>1560</v>
      </c>
      <c r="B770" s="37" t="s">
        <v>108</v>
      </c>
      <c r="C770" s="20" t="s">
        <v>1496</v>
      </c>
      <c r="D770" s="218" t="s">
        <v>941</v>
      </c>
      <c r="E770" s="203" t="s">
        <v>2567</v>
      </c>
      <c r="F770" s="108">
        <f t="shared" si="125"/>
        <v>28489.31721</v>
      </c>
      <c r="G770" s="106">
        <f t="shared" si="134"/>
        <v>12083.307990000001</v>
      </c>
      <c r="H770" s="106">
        <f t="shared" si="135"/>
        <v>16406.00922</v>
      </c>
      <c r="I770" s="107"/>
      <c r="J770" s="107"/>
      <c r="K770" s="107"/>
      <c r="L770" s="107"/>
      <c r="M770" s="107"/>
      <c r="N770" s="107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7">
        <v>371.59053</v>
      </c>
      <c r="Z770" s="107">
        <v>444.8955</v>
      </c>
      <c r="AA770" s="159">
        <v>2017.73932</v>
      </c>
      <c r="AB770" s="106">
        <v>1150.01236</v>
      </c>
      <c r="AC770" s="107"/>
      <c r="AD770" s="107"/>
      <c r="AE770" s="107"/>
      <c r="AF770" s="107"/>
      <c r="AG770" s="107">
        <v>102.3612</v>
      </c>
      <c r="AH770" s="107"/>
      <c r="AI770" s="107"/>
      <c r="AJ770" s="108">
        <v>1520.7365599999998</v>
      </c>
      <c r="AK770" s="107">
        <v>57.325</v>
      </c>
      <c r="AL770" s="107"/>
      <c r="AM770" s="107">
        <v>60.528</v>
      </c>
      <c r="AN770" s="107"/>
      <c r="AO770" s="107"/>
      <c r="AP770" s="107"/>
      <c r="AQ770" s="107"/>
      <c r="AR770" s="107"/>
      <c r="AS770" s="107"/>
      <c r="AT770" s="107"/>
      <c r="AU770" s="107"/>
      <c r="AV770" s="107"/>
      <c r="AW770" s="107">
        <v>226.72</v>
      </c>
      <c r="AX770" s="107">
        <v>4454.94049</v>
      </c>
      <c r="AY770" s="106">
        <v>2857.31404</v>
      </c>
      <c r="AZ770" s="107">
        <v>2438.253</v>
      </c>
      <c r="BA770" s="107">
        <f>944.23526+881.96903</f>
        <v>1826.2042900000001</v>
      </c>
      <c r="BB770" s="107"/>
      <c r="BC770" s="107">
        <v>5239.03765</v>
      </c>
      <c r="BD770" s="107">
        <v>5144.89309</v>
      </c>
      <c r="BE770" s="107"/>
      <c r="BF770" s="107"/>
      <c r="BG770" s="107"/>
      <c r="BH770" s="107"/>
      <c r="BI770" s="107"/>
      <c r="BJ770" s="107"/>
      <c r="BK770" s="107"/>
      <c r="BL770" s="107"/>
      <c r="BM770" s="107">
        <v>576.76618</v>
      </c>
      <c r="BN770" s="107"/>
      <c r="BO770" s="107"/>
      <c r="BP770" s="107"/>
      <c r="BQ770" s="109"/>
      <c r="BR770" s="109"/>
      <c r="BS770" s="109"/>
      <c r="BT770" s="109"/>
      <c r="BU770" s="138"/>
    </row>
    <row r="771" spans="1:73" ht="36.75" customHeight="1" outlineLevel="2">
      <c r="A771" s="35" t="s">
        <v>1560</v>
      </c>
      <c r="B771" s="37" t="s">
        <v>294</v>
      </c>
      <c r="C771" s="20" t="s">
        <v>1496</v>
      </c>
      <c r="D771" s="218" t="s">
        <v>613</v>
      </c>
      <c r="E771" s="203" t="s">
        <v>2568</v>
      </c>
      <c r="F771" s="108">
        <f t="shared" si="125"/>
        <v>2613.95671</v>
      </c>
      <c r="G771" s="106">
        <f t="shared" si="134"/>
        <v>521.77187</v>
      </c>
      <c r="H771" s="106">
        <f t="shared" si="135"/>
        <v>2092.18484</v>
      </c>
      <c r="I771" s="107"/>
      <c r="J771" s="107"/>
      <c r="K771" s="107"/>
      <c r="L771" s="107"/>
      <c r="M771" s="107"/>
      <c r="N771" s="107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7">
        <v>152</v>
      </c>
      <c r="Z771" s="107">
        <v>399.3</v>
      </c>
      <c r="AA771" s="159">
        <v>86.32401</v>
      </c>
      <c r="AB771" s="106">
        <v>59.42193</v>
      </c>
      <c r="AC771" s="107"/>
      <c r="AD771" s="107"/>
      <c r="AE771" s="107"/>
      <c r="AF771" s="107"/>
      <c r="AG771" s="107"/>
      <c r="AH771" s="107"/>
      <c r="AI771" s="107"/>
      <c r="AJ771" s="108">
        <v>44.09304</v>
      </c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7"/>
      <c r="AV771" s="107"/>
      <c r="AW771" s="107"/>
      <c r="AX771" s="107"/>
      <c r="AY771" s="106"/>
      <c r="AZ771" s="107">
        <v>45.441</v>
      </c>
      <c r="BA771" s="107">
        <f>840+425.9633</f>
        <v>1265.9633</v>
      </c>
      <c r="BB771" s="107"/>
      <c r="BC771" s="107">
        <v>283.44786</v>
      </c>
      <c r="BD771" s="107">
        <v>277.96557</v>
      </c>
      <c r="BE771" s="107"/>
      <c r="BF771" s="107"/>
      <c r="BG771" s="107"/>
      <c r="BH771" s="107"/>
      <c r="BI771" s="107"/>
      <c r="BJ771" s="107"/>
      <c r="BK771" s="107"/>
      <c r="BL771" s="107"/>
      <c r="BM771" s="107"/>
      <c r="BN771" s="107"/>
      <c r="BO771" s="107"/>
      <c r="BP771" s="107"/>
      <c r="BQ771" s="109"/>
      <c r="BR771" s="109"/>
      <c r="BS771" s="109"/>
      <c r="BT771" s="109"/>
      <c r="BU771" s="138"/>
    </row>
    <row r="772" spans="1:73" ht="38.25" customHeight="1" outlineLevel="2">
      <c r="A772" s="24" t="s">
        <v>1560</v>
      </c>
      <c r="B772" s="19" t="s">
        <v>1368</v>
      </c>
      <c r="C772" s="20" t="s">
        <v>1496</v>
      </c>
      <c r="D772" s="218" t="s">
        <v>1369</v>
      </c>
      <c r="E772" s="203" t="s">
        <v>2566</v>
      </c>
      <c r="F772" s="108">
        <f t="shared" si="125"/>
        <v>23252.3076</v>
      </c>
      <c r="G772" s="106">
        <f t="shared" si="134"/>
        <v>6552.07799</v>
      </c>
      <c r="H772" s="106">
        <f t="shared" si="135"/>
        <v>16700.229610000002</v>
      </c>
      <c r="I772" s="107"/>
      <c r="J772" s="107"/>
      <c r="K772" s="107"/>
      <c r="L772" s="107"/>
      <c r="M772" s="107"/>
      <c r="N772" s="107"/>
      <c r="O772" s="106"/>
      <c r="P772" s="106"/>
      <c r="Q772" s="106"/>
      <c r="R772" s="106"/>
      <c r="S772" s="106">
        <v>783.11051</v>
      </c>
      <c r="T772" s="106">
        <v>391.5553</v>
      </c>
      <c r="U772" s="106"/>
      <c r="V772" s="106"/>
      <c r="W772" s="106"/>
      <c r="X772" s="106"/>
      <c r="Y772" s="107">
        <v>166.06</v>
      </c>
      <c r="Z772" s="107">
        <v>196.65525</v>
      </c>
      <c r="AA772" s="159">
        <v>1234.9267</v>
      </c>
      <c r="AB772" s="106">
        <v>941.63947</v>
      </c>
      <c r="AC772" s="107"/>
      <c r="AD772" s="107"/>
      <c r="AE772" s="107"/>
      <c r="AF772" s="107"/>
      <c r="AG772" s="107"/>
      <c r="AH772" s="107"/>
      <c r="AI772" s="107"/>
      <c r="AJ772" s="108">
        <v>1504.35504</v>
      </c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7"/>
      <c r="AV772" s="107"/>
      <c r="AW772" s="107"/>
      <c r="AX772" s="107"/>
      <c r="AY772" s="106"/>
      <c r="AZ772" s="107"/>
      <c r="BA772" s="107">
        <f>5589.32847+3545.32589</f>
        <v>9134.65436</v>
      </c>
      <c r="BB772" s="107"/>
      <c r="BC772" s="107">
        <v>4367.98078</v>
      </c>
      <c r="BD772" s="107">
        <v>4283.60799</v>
      </c>
      <c r="BE772" s="107"/>
      <c r="BF772" s="107"/>
      <c r="BG772" s="107"/>
      <c r="BH772" s="107"/>
      <c r="BI772" s="107"/>
      <c r="BJ772" s="107">
        <v>247.7622</v>
      </c>
      <c r="BK772" s="107"/>
      <c r="BL772" s="107"/>
      <c r="BM772" s="107"/>
      <c r="BN772" s="107"/>
      <c r="BO772" s="107"/>
      <c r="BP772" s="107"/>
      <c r="BQ772" s="109"/>
      <c r="BR772" s="109"/>
      <c r="BS772" s="109"/>
      <c r="BT772" s="109"/>
      <c r="BU772" s="138"/>
    </row>
    <row r="773" spans="1:73" ht="34.5" customHeight="1" outlineLevel="2">
      <c r="A773" s="35" t="s">
        <v>1560</v>
      </c>
      <c r="B773" s="37" t="s">
        <v>681</v>
      </c>
      <c r="C773" s="20" t="s">
        <v>1496</v>
      </c>
      <c r="D773" s="218" t="s">
        <v>1554</v>
      </c>
      <c r="E773" s="203" t="s">
        <v>2569</v>
      </c>
      <c r="F773" s="108">
        <f t="shared" si="125"/>
        <v>2180.73628</v>
      </c>
      <c r="G773" s="106">
        <f t="shared" si="134"/>
        <v>1297.53479</v>
      </c>
      <c r="H773" s="106">
        <f t="shared" si="135"/>
        <v>883.2014899999999</v>
      </c>
      <c r="I773" s="107"/>
      <c r="J773" s="107"/>
      <c r="K773" s="107"/>
      <c r="L773" s="107"/>
      <c r="M773" s="107"/>
      <c r="N773" s="107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7">
        <v>80</v>
      </c>
      <c r="Z773" s="107"/>
      <c r="AA773" s="106"/>
      <c r="AB773" s="106"/>
      <c r="AC773" s="107"/>
      <c r="AD773" s="107"/>
      <c r="AE773" s="107"/>
      <c r="AF773" s="107"/>
      <c r="AG773" s="107"/>
      <c r="AH773" s="107"/>
      <c r="AI773" s="107"/>
      <c r="AJ773" s="108">
        <v>0</v>
      </c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7"/>
      <c r="AV773" s="107"/>
      <c r="AW773" s="107"/>
      <c r="AX773" s="107">
        <v>943.60947</v>
      </c>
      <c r="AY773" s="106">
        <v>451.14534</v>
      </c>
      <c r="AZ773" s="107"/>
      <c r="BA773" s="107"/>
      <c r="BB773" s="107"/>
      <c r="BC773" s="107">
        <v>273.92532</v>
      </c>
      <c r="BD773" s="107">
        <v>268.63081</v>
      </c>
      <c r="BE773" s="107"/>
      <c r="BF773" s="107"/>
      <c r="BG773" s="107"/>
      <c r="BH773" s="107"/>
      <c r="BI773" s="107"/>
      <c r="BJ773" s="107">
        <v>163.42534</v>
      </c>
      <c r="BK773" s="107"/>
      <c r="BL773" s="107"/>
      <c r="BM773" s="107"/>
      <c r="BN773" s="107"/>
      <c r="BO773" s="107"/>
      <c r="BP773" s="107"/>
      <c r="BQ773" s="109"/>
      <c r="BR773" s="109"/>
      <c r="BS773" s="109"/>
      <c r="BT773" s="109"/>
      <c r="BU773" s="138"/>
    </row>
    <row r="774" spans="1:73" ht="36" customHeight="1" outlineLevel="2">
      <c r="A774" s="35" t="s">
        <v>1560</v>
      </c>
      <c r="B774" s="37" t="s">
        <v>293</v>
      </c>
      <c r="C774" s="20" t="s">
        <v>1496</v>
      </c>
      <c r="D774" s="218" t="s">
        <v>1363</v>
      </c>
      <c r="E774" s="203" t="s">
        <v>2565</v>
      </c>
      <c r="F774" s="108">
        <f t="shared" si="125"/>
        <v>29778.47692</v>
      </c>
      <c r="G774" s="106">
        <f t="shared" si="134"/>
        <v>12647.04059</v>
      </c>
      <c r="H774" s="106">
        <f t="shared" si="135"/>
        <v>17131.43633</v>
      </c>
      <c r="I774" s="107">
        <v>319.54408</v>
      </c>
      <c r="J774" s="107">
        <v>85.14381</v>
      </c>
      <c r="K774" s="107">
        <v>4882.80165</v>
      </c>
      <c r="L774" s="107">
        <v>999.61049</v>
      </c>
      <c r="M774" s="107"/>
      <c r="N774" s="107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7"/>
      <c r="Z774" s="107">
        <v>191.664</v>
      </c>
      <c r="AA774" s="159">
        <v>1661.79001</v>
      </c>
      <c r="AB774" s="106">
        <v>925.59555</v>
      </c>
      <c r="AC774" s="107"/>
      <c r="AD774" s="107"/>
      <c r="AE774" s="107"/>
      <c r="AF774" s="107"/>
      <c r="AG774" s="107">
        <v>129.3108</v>
      </c>
      <c r="AH774" s="107"/>
      <c r="AI774" s="107"/>
      <c r="AJ774" s="108">
        <v>2962.6535999999996</v>
      </c>
      <c r="AK774" s="107">
        <v>75.67</v>
      </c>
      <c r="AL774" s="107"/>
      <c r="AM774" s="107"/>
      <c r="AN774" s="107"/>
      <c r="AO774" s="107"/>
      <c r="AP774" s="107"/>
      <c r="AQ774" s="107">
        <v>4.375</v>
      </c>
      <c r="AR774" s="107"/>
      <c r="AS774" s="107"/>
      <c r="AT774" s="107"/>
      <c r="AU774" s="107"/>
      <c r="AV774" s="107"/>
      <c r="AW774" s="107"/>
      <c r="AX774" s="107">
        <v>2567.83428</v>
      </c>
      <c r="AY774" s="106">
        <v>3224.83232</v>
      </c>
      <c r="AZ774" s="107"/>
      <c r="BA774" s="107"/>
      <c r="BB774" s="107"/>
      <c r="BC774" s="107">
        <v>3215.07057</v>
      </c>
      <c r="BD774" s="107">
        <v>3152.98322</v>
      </c>
      <c r="BE774" s="107">
        <v>194.4274</v>
      </c>
      <c r="BF774" s="107"/>
      <c r="BG774" s="107"/>
      <c r="BH774" s="107"/>
      <c r="BI774" s="107"/>
      <c r="BJ774" s="107">
        <v>5026.48798</v>
      </c>
      <c r="BK774" s="107"/>
      <c r="BL774" s="107"/>
      <c r="BM774" s="107">
        <v>158.68216</v>
      </c>
      <c r="BN774" s="107"/>
      <c r="BO774" s="107"/>
      <c r="BP774" s="107"/>
      <c r="BQ774" s="109"/>
      <c r="BR774" s="109"/>
      <c r="BS774" s="109"/>
      <c r="BT774" s="109"/>
      <c r="BU774" s="138"/>
    </row>
    <row r="775" spans="1:73" ht="24" customHeight="1" outlineLevel="2">
      <c r="A775" s="24" t="s">
        <v>1560</v>
      </c>
      <c r="B775" s="19" t="s">
        <v>1451</v>
      </c>
      <c r="C775" s="20" t="s">
        <v>587</v>
      </c>
      <c r="D775" s="219" t="s">
        <v>1469</v>
      </c>
      <c r="E775" s="268" t="s">
        <v>2570</v>
      </c>
      <c r="F775" s="108">
        <f t="shared" si="125"/>
        <v>8.22836</v>
      </c>
      <c r="G775" s="106">
        <f t="shared" si="134"/>
        <v>0</v>
      </c>
      <c r="H775" s="106">
        <f t="shared" si="135"/>
        <v>8.22836</v>
      </c>
      <c r="I775" s="107"/>
      <c r="J775" s="107"/>
      <c r="K775" s="107"/>
      <c r="L775" s="107"/>
      <c r="M775" s="107"/>
      <c r="N775" s="107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7"/>
      <c r="Z775" s="107"/>
      <c r="AA775" s="106"/>
      <c r="AB775" s="106"/>
      <c r="AC775" s="107"/>
      <c r="AD775" s="107"/>
      <c r="AE775" s="107"/>
      <c r="AF775" s="107"/>
      <c r="AG775" s="107"/>
      <c r="AH775" s="107"/>
      <c r="AI775" s="107"/>
      <c r="AJ775" s="108">
        <v>0</v>
      </c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7"/>
      <c r="AV775" s="107"/>
      <c r="AW775" s="107"/>
      <c r="AX775" s="107"/>
      <c r="AY775" s="106">
        <v>8.22836</v>
      </c>
      <c r="AZ775" s="107"/>
      <c r="BA775" s="107"/>
      <c r="BB775" s="107"/>
      <c r="BC775" s="107"/>
      <c r="BD775" s="107"/>
      <c r="BE775" s="107"/>
      <c r="BF775" s="107"/>
      <c r="BG775" s="107"/>
      <c r="BH775" s="107"/>
      <c r="BI775" s="107"/>
      <c r="BJ775" s="107"/>
      <c r="BK775" s="107"/>
      <c r="BL775" s="107"/>
      <c r="BM775" s="107"/>
      <c r="BN775" s="107"/>
      <c r="BO775" s="107"/>
      <c r="BP775" s="107"/>
      <c r="BQ775" s="109"/>
      <c r="BR775" s="109"/>
      <c r="BS775" s="109"/>
      <c r="BT775" s="109"/>
      <c r="BU775" s="138"/>
    </row>
    <row r="776" spans="1:73" ht="39.75" customHeight="1" outlineLevel="2">
      <c r="A776" s="24" t="s">
        <v>1560</v>
      </c>
      <c r="B776" s="19" t="s">
        <v>280</v>
      </c>
      <c r="C776" s="20" t="s">
        <v>587</v>
      </c>
      <c r="D776" s="218" t="s">
        <v>1561</v>
      </c>
      <c r="E776" s="220" t="s">
        <v>2571</v>
      </c>
      <c r="F776" s="108">
        <f t="shared" si="125"/>
        <v>767.5443599999999</v>
      </c>
      <c r="G776" s="106">
        <f t="shared" si="134"/>
        <v>340.93913999999995</v>
      </c>
      <c r="H776" s="106">
        <f t="shared" si="135"/>
        <v>426.60522</v>
      </c>
      <c r="I776" s="107"/>
      <c r="J776" s="107"/>
      <c r="K776" s="107"/>
      <c r="L776" s="107"/>
      <c r="M776" s="107"/>
      <c r="N776" s="107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7">
        <v>48.64</v>
      </c>
      <c r="Z776" s="107">
        <v>127.776</v>
      </c>
      <c r="AA776" s="159">
        <v>142.28578</v>
      </c>
      <c r="AB776" s="106">
        <v>99.03655</v>
      </c>
      <c r="AC776" s="107"/>
      <c r="AD776" s="107"/>
      <c r="AE776" s="107"/>
      <c r="AF776" s="107"/>
      <c r="AG776" s="107"/>
      <c r="AH776" s="107"/>
      <c r="AI776" s="107"/>
      <c r="AJ776" s="108">
        <v>52.67424</v>
      </c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7"/>
      <c r="AV776" s="107"/>
      <c r="AW776" s="107"/>
      <c r="AX776" s="107"/>
      <c r="AY776" s="106"/>
      <c r="AZ776" s="107"/>
      <c r="BA776" s="107"/>
      <c r="BB776" s="107"/>
      <c r="BC776" s="107">
        <v>150.01336</v>
      </c>
      <c r="BD776" s="107">
        <v>147.11843</v>
      </c>
      <c r="BE776" s="107"/>
      <c r="BF776" s="107"/>
      <c r="BG776" s="107"/>
      <c r="BH776" s="107"/>
      <c r="BI776" s="107"/>
      <c r="BJ776" s="107"/>
      <c r="BK776" s="107"/>
      <c r="BL776" s="107"/>
      <c r="BM776" s="107"/>
      <c r="BN776" s="107"/>
      <c r="BO776" s="107"/>
      <c r="BP776" s="107"/>
      <c r="BQ776" s="109"/>
      <c r="BR776" s="109"/>
      <c r="BS776" s="109"/>
      <c r="BT776" s="109"/>
      <c r="BU776" s="138"/>
    </row>
    <row r="777" spans="1:73" ht="39.75" customHeight="1" outlineLevel="2">
      <c r="A777" s="24" t="s">
        <v>1560</v>
      </c>
      <c r="B777" s="19" t="s">
        <v>94</v>
      </c>
      <c r="C777" s="20" t="s">
        <v>587</v>
      </c>
      <c r="D777" s="218" t="s">
        <v>71</v>
      </c>
      <c r="E777" s="220" t="s">
        <v>2572</v>
      </c>
      <c r="F777" s="108">
        <f t="shared" si="125"/>
        <v>2600.1249999999995</v>
      </c>
      <c r="G777" s="106">
        <f t="shared" si="134"/>
        <v>409.29384</v>
      </c>
      <c r="H777" s="106">
        <f t="shared" si="135"/>
        <v>2190.8311599999997</v>
      </c>
      <c r="I777" s="107"/>
      <c r="J777" s="107"/>
      <c r="K777" s="107"/>
      <c r="L777" s="107"/>
      <c r="M777" s="107"/>
      <c r="N777" s="107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7"/>
      <c r="Z777" s="107"/>
      <c r="AA777" s="106">
        <v>12.5914</v>
      </c>
      <c r="AB777" s="106">
        <v>8.91329</v>
      </c>
      <c r="AC777" s="107"/>
      <c r="AD777" s="107"/>
      <c r="AE777" s="107"/>
      <c r="AF777" s="107"/>
      <c r="AG777" s="107"/>
      <c r="AH777" s="107"/>
      <c r="AI777" s="107"/>
      <c r="AJ777" s="108">
        <v>0</v>
      </c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7"/>
      <c r="AV777" s="107"/>
      <c r="AW777" s="107"/>
      <c r="AX777" s="107"/>
      <c r="AY777" s="106"/>
      <c r="AZ777" s="107">
        <v>160.2</v>
      </c>
      <c r="BA777" s="107">
        <v>23.2638</v>
      </c>
      <c r="BB777" s="107"/>
      <c r="BC777" s="107">
        <v>63.70244</v>
      </c>
      <c r="BD777" s="107">
        <v>62.4683</v>
      </c>
      <c r="BE777" s="107"/>
      <c r="BF777" s="107"/>
      <c r="BG777" s="107"/>
      <c r="BH777" s="107"/>
      <c r="BI777" s="107"/>
      <c r="BJ777" s="107">
        <v>57.62677</v>
      </c>
      <c r="BK777" s="107"/>
      <c r="BL777" s="107"/>
      <c r="BM777" s="107"/>
      <c r="BN777" s="107"/>
      <c r="BO777" s="107"/>
      <c r="BP777" s="107"/>
      <c r="BQ777" s="109"/>
      <c r="BR777" s="109"/>
      <c r="BS777" s="109"/>
      <c r="BT777" s="109">
        <v>333</v>
      </c>
      <c r="BU777" s="143">
        <v>1878.359</v>
      </c>
    </row>
    <row r="778" spans="1:73" ht="39.75" customHeight="1" outlineLevel="2">
      <c r="A778" s="24" t="s">
        <v>1560</v>
      </c>
      <c r="B778" s="19" t="s">
        <v>89</v>
      </c>
      <c r="C778" s="20" t="s">
        <v>587</v>
      </c>
      <c r="D778" s="239">
        <v>246313535052</v>
      </c>
      <c r="E778" s="242" t="s">
        <v>2573</v>
      </c>
      <c r="F778" s="108">
        <f t="shared" si="125"/>
        <v>605.94837</v>
      </c>
      <c r="G778" s="106">
        <f t="shared" si="134"/>
        <v>211.22731</v>
      </c>
      <c r="H778" s="106">
        <f t="shared" si="135"/>
        <v>394.72105999999997</v>
      </c>
      <c r="I778" s="107"/>
      <c r="J778" s="107"/>
      <c r="K778" s="107"/>
      <c r="L778" s="107"/>
      <c r="M778" s="107"/>
      <c r="N778" s="107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7"/>
      <c r="Z778" s="107"/>
      <c r="AA778" s="106">
        <v>94.06341</v>
      </c>
      <c r="AB778" s="106">
        <v>59.42193</v>
      </c>
      <c r="AC778" s="107"/>
      <c r="AD778" s="107"/>
      <c r="AE778" s="107"/>
      <c r="AF778" s="107"/>
      <c r="AG778" s="107"/>
      <c r="AH778" s="107"/>
      <c r="AI778" s="107"/>
      <c r="AJ778" s="108">
        <v>40.493359999999996</v>
      </c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7"/>
      <c r="AV778" s="107"/>
      <c r="AW778" s="107"/>
      <c r="AX778" s="107"/>
      <c r="AY778" s="106"/>
      <c r="AZ778" s="107"/>
      <c r="BA778" s="107"/>
      <c r="BB778" s="107"/>
      <c r="BC778" s="107">
        <v>117.1639</v>
      </c>
      <c r="BD778" s="107">
        <v>114.89688</v>
      </c>
      <c r="BE778" s="107">
        <v>179.90889</v>
      </c>
      <c r="BF778" s="107"/>
      <c r="BG778" s="107"/>
      <c r="BH778" s="107"/>
      <c r="BI778" s="107"/>
      <c r="BJ778" s="107"/>
      <c r="BK778" s="107"/>
      <c r="BL778" s="107"/>
      <c r="BM778" s="107"/>
      <c r="BN778" s="107"/>
      <c r="BO778" s="107"/>
      <c r="BP778" s="107"/>
      <c r="BQ778" s="109"/>
      <c r="BR778" s="109"/>
      <c r="BS778" s="109"/>
      <c r="BT778" s="109"/>
      <c r="BU778" s="138"/>
    </row>
    <row r="779" spans="1:73" ht="39.75" customHeight="1" outlineLevel="2">
      <c r="A779" s="24" t="s">
        <v>1560</v>
      </c>
      <c r="B779" s="19" t="s">
        <v>88</v>
      </c>
      <c r="C779" s="20" t="s">
        <v>587</v>
      </c>
      <c r="D779" s="239">
        <v>244801596552</v>
      </c>
      <c r="E779" s="242" t="s">
        <v>2574</v>
      </c>
      <c r="F779" s="108">
        <f t="shared" si="125"/>
        <v>155.28995</v>
      </c>
      <c r="G779" s="106">
        <f t="shared" si="134"/>
        <v>73.85728</v>
      </c>
      <c r="H779" s="106">
        <f t="shared" si="135"/>
        <v>81.43267</v>
      </c>
      <c r="I779" s="107"/>
      <c r="J779" s="107"/>
      <c r="K779" s="107"/>
      <c r="L779" s="107"/>
      <c r="M779" s="107"/>
      <c r="N779" s="107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7">
        <v>3.04</v>
      </c>
      <c r="Z779" s="107">
        <v>7.986</v>
      </c>
      <c r="AA779" s="106">
        <v>38.43899</v>
      </c>
      <c r="AB779" s="106">
        <v>25.7495</v>
      </c>
      <c r="AC779" s="107"/>
      <c r="AD779" s="107"/>
      <c r="AE779" s="107"/>
      <c r="AF779" s="107"/>
      <c r="AG779" s="107"/>
      <c r="AH779" s="107"/>
      <c r="AI779" s="107"/>
      <c r="AJ779" s="108">
        <v>15.94492</v>
      </c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7"/>
      <c r="AV779" s="107"/>
      <c r="AW779" s="107"/>
      <c r="AX779" s="107"/>
      <c r="AY779" s="106"/>
      <c r="AZ779" s="107"/>
      <c r="BA779" s="107"/>
      <c r="BB779" s="107"/>
      <c r="BC779" s="107">
        <v>32.37829</v>
      </c>
      <c r="BD779" s="107">
        <v>31.75225</v>
      </c>
      <c r="BE779" s="107"/>
      <c r="BF779" s="107"/>
      <c r="BG779" s="107"/>
      <c r="BH779" s="107"/>
      <c r="BI779" s="107"/>
      <c r="BJ779" s="107"/>
      <c r="BK779" s="107"/>
      <c r="BL779" s="107"/>
      <c r="BM779" s="107"/>
      <c r="BN779" s="107"/>
      <c r="BO779" s="107"/>
      <c r="BP779" s="107"/>
      <c r="BQ779" s="109"/>
      <c r="BR779" s="109"/>
      <c r="BS779" s="109"/>
      <c r="BT779" s="109"/>
      <c r="BU779" s="138"/>
    </row>
    <row r="780" spans="1:73" ht="39.75" customHeight="1" outlineLevel="2">
      <c r="A780" s="24" t="s">
        <v>1560</v>
      </c>
      <c r="B780" s="19" t="s">
        <v>87</v>
      </c>
      <c r="C780" s="20" t="s">
        <v>587</v>
      </c>
      <c r="D780" s="219" t="s">
        <v>582</v>
      </c>
      <c r="E780" s="268" t="s">
        <v>2575</v>
      </c>
      <c r="F780" s="108">
        <f t="shared" si="125"/>
        <v>471.74098000000004</v>
      </c>
      <c r="G780" s="106">
        <f t="shared" si="134"/>
        <v>148.14827</v>
      </c>
      <c r="H780" s="106">
        <f t="shared" si="135"/>
        <v>323.59271</v>
      </c>
      <c r="I780" s="107"/>
      <c r="J780" s="107"/>
      <c r="K780" s="107"/>
      <c r="L780" s="107"/>
      <c r="M780" s="107"/>
      <c r="N780" s="107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7">
        <v>50.50701</v>
      </c>
      <c r="Z780" s="107">
        <v>239.58</v>
      </c>
      <c r="AA780" s="159">
        <v>42.269</v>
      </c>
      <c r="AB780" s="106">
        <v>29.71096</v>
      </c>
      <c r="AC780" s="107"/>
      <c r="AD780" s="107"/>
      <c r="AE780" s="107"/>
      <c r="AF780" s="107"/>
      <c r="AG780" s="107"/>
      <c r="AH780" s="107"/>
      <c r="AI780" s="107"/>
      <c r="AJ780" s="108">
        <v>0</v>
      </c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7"/>
      <c r="AV780" s="107"/>
      <c r="AW780" s="107"/>
      <c r="AX780" s="107"/>
      <c r="AY780" s="106"/>
      <c r="AZ780" s="107"/>
      <c r="BA780" s="107"/>
      <c r="BB780" s="107"/>
      <c r="BC780" s="107">
        <v>55.37226</v>
      </c>
      <c r="BD780" s="107">
        <v>54.30175</v>
      </c>
      <c r="BE780" s="107"/>
      <c r="BF780" s="107"/>
      <c r="BG780" s="107"/>
      <c r="BH780" s="107"/>
      <c r="BI780" s="107"/>
      <c r="BJ780" s="107"/>
      <c r="BK780" s="107"/>
      <c r="BL780" s="107"/>
      <c r="BM780" s="107"/>
      <c r="BN780" s="107"/>
      <c r="BO780" s="107"/>
      <c r="BP780" s="107"/>
      <c r="BQ780" s="109"/>
      <c r="BR780" s="109"/>
      <c r="BS780" s="109"/>
      <c r="BT780" s="109"/>
      <c r="BU780" s="138"/>
    </row>
    <row r="781" spans="1:73" ht="39.75" customHeight="1" outlineLevel="2">
      <c r="A781" s="24" t="s">
        <v>1560</v>
      </c>
      <c r="B781" s="19" t="s">
        <v>1385</v>
      </c>
      <c r="C781" s="20" t="s">
        <v>587</v>
      </c>
      <c r="D781" s="269">
        <v>244803287052</v>
      </c>
      <c r="E781" s="270" t="s">
        <v>2576</v>
      </c>
      <c r="F781" s="108">
        <f t="shared" si="125"/>
        <v>233.93411</v>
      </c>
      <c r="G781" s="106">
        <f t="shared" si="134"/>
        <v>7.94991</v>
      </c>
      <c r="H781" s="106">
        <f t="shared" si="135"/>
        <v>225.98420000000002</v>
      </c>
      <c r="I781" s="107"/>
      <c r="J781" s="107"/>
      <c r="K781" s="107"/>
      <c r="L781" s="107"/>
      <c r="M781" s="107"/>
      <c r="N781" s="107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7"/>
      <c r="Z781" s="107"/>
      <c r="AA781" s="159">
        <v>0.89301</v>
      </c>
      <c r="AB781" s="106">
        <v>0.59422</v>
      </c>
      <c r="AC781" s="107"/>
      <c r="AD781" s="107"/>
      <c r="AE781" s="107"/>
      <c r="AF781" s="107"/>
      <c r="AG781" s="107"/>
      <c r="AH781" s="107"/>
      <c r="AI781" s="107"/>
      <c r="AJ781" s="108">
        <v>0</v>
      </c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7"/>
      <c r="AV781" s="107"/>
      <c r="AW781" s="107"/>
      <c r="AX781" s="107"/>
      <c r="AY781" s="106"/>
      <c r="AZ781" s="107"/>
      <c r="BA781" s="107">
        <f>79.832+77.3535</f>
        <v>157.1855</v>
      </c>
      <c r="BB781" s="107"/>
      <c r="BC781" s="107">
        <v>7.0569</v>
      </c>
      <c r="BD781" s="107">
        <v>6.91998</v>
      </c>
      <c r="BE781" s="107"/>
      <c r="BF781" s="107"/>
      <c r="BG781" s="107"/>
      <c r="BH781" s="107"/>
      <c r="BI781" s="107"/>
      <c r="BJ781" s="107">
        <v>61.2845</v>
      </c>
      <c r="BK781" s="107"/>
      <c r="BL781" s="107"/>
      <c r="BM781" s="107"/>
      <c r="BN781" s="107"/>
      <c r="BO781" s="107"/>
      <c r="BP781" s="107"/>
      <c r="BQ781" s="109"/>
      <c r="BR781" s="109"/>
      <c r="BS781" s="109"/>
      <c r="BT781" s="109"/>
      <c r="BU781" s="138"/>
    </row>
    <row r="782" spans="1:73" ht="39.75" customHeight="1" outlineLevel="2">
      <c r="A782" s="24" t="s">
        <v>1560</v>
      </c>
      <c r="B782" s="19" t="s">
        <v>90</v>
      </c>
      <c r="C782" s="20" t="s">
        <v>587</v>
      </c>
      <c r="D782" s="239">
        <v>244800937714</v>
      </c>
      <c r="E782" s="242" t="s">
        <v>2577</v>
      </c>
      <c r="F782" s="108">
        <f t="shared" si="125"/>
        <v>164.82294</v>
      </c>
      <c r="G782" s="106">
        <f t="shared" si="134"/>
        <v>11.77987</v>
      </c>
      <c r="H782" s="106">
        <f t="shared" si="135"/>
        <v>153.04307</v>
      </c>
      <c r="I782" s="107"/>
      <c r="J782" s="107"/>
      <c r="K782" s="107"/>
      <c r="L782" s="107"/>
      <c r="M782" s="107"/>
      <c r="N782" s="107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7"/>
      <c r="Z782" s="107"/>
      <c r="AA782" s="159"/>
      <c r="AB782" s="106"/>
      <c r="AC782" s="107"/>
      <c r="AD782" s="107"/>
      <c r="AE782" s="107"/>
      <c r="AF782" s="107"/>
      <c r="AG782" s="107">
        <v>10.2834</v>
      </c>
      <c r="AH782" s="107"/>
      <c r="AI782" s="107"/>
      <c r="AJ782" s="108">
        <v>0</v>
      </c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7"/>
      <c r="AV782" s="107"/>
      <c r="AW782" s="107"/>
      <c r="AX782" s="107"/>
      <c r="AY782" s="106">
        <v>31.20652</v>
      </c>
      <c r="AZ782" s="107">
        <v>31.5</v>
      </c>
      <c r="BA782" s="107">
        <v>25.83245</v>
      </c>
      <c r="BB782" s="107"/>
      <c r="BC782" s="107">
        <v>11.77987</v>
      </c>
      <c r="BD782" s="107">
        <v>11.55119</v>
      </c>
      <c r="BE782" s="107"/>
      <c r="BF782" s="107"/>
      <c r="BG782" s="107"/>
      <c r="BH782" s="107"/>
      <c r="BI782" s="107"/>
      <c r="BJ782" s="107">
        <v>42.66951</v>
      </c>
      <c r="BK782" s="107"/>
      <c r="BL782" s="107"/>
      <c r="BM782" s="107"/>
      <c r="BN782" s="107"/>
      <c r="BO782" s="107"/>
      <c r="BP782" s="107"/>
      <c r="BQ782" s="109"/>
      <c r="BR782" s="109"/>
      <c r="BS782" s="109"/>
      <c r="BT782" s="109"/>
      <c r="BU782" s="138"/>
    </row>
    <row r="783" spans="1:73" ht="39.75" customHeight="1" outlineLevel="2">
      <c r="A783" s="24" t="s">
        <v>1560</v>
      </c>
      <c r="B783" s="19" t="s">
        <v>628</v>
      </c>
      <c r="C783" s="20" t="s">
        <v>587</v>
      </c>
      <c r="D783" s="269">
        <v>244802259180</v>
      </c>
      <c r="E783" s="270" t="s">
        <v>2578</v>
      </c>
      <c r="F783" s="108">
        <f t="shared" si="125"/>
        <v>56.52563</v>
      </c>
      <c r="G783" s="106">
        <f t="shared" si="134"/>
        <v>29.368949999999998</v>
      </c>
      <c r="H783" s="106">
        <f t="shared" si="135"/>
        <v>27.15668</v>
      </c>
      <c r="I783" s="107"/>
      <c r="J783" s="107"/>
      <c r="K783" s="107"/>
      <c r="L783" s="107"/>
      <c r="M783" s="107"/>
      <c r="N783" s="107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7"/>
      <c r="Z783" s="107"/>
      <c r="AA783" s="106">
        <v>5.91766</v>
      </c>
      <c r="AB783" s="106">
        <v>4.15953</v>
      </c>
      <c r="AC783" s="107"/>
      <c r="AD783" s="107"/>
      <c r="AE783" s="107"/>
      <c r="AF783" s="107"/>
      <c r="AG783" s="107"/>
      <c r="AH783" s="107"/>
      <c r="AI783" s="107"/>
      <c r="AJ783" s="108">
        <v>0</v>
      </c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7"/>
      <c r="AV783" s="107"/>
      <c r="AW783" s="107"/>
      <c r="AX783" s="107"/>
      <c r="AY783" s="106"/>
      <c r="AZ783" s="107"/>
      <c r="BA783" s="107"/>
      <c r="BB783" s="107"/>
      <c r="BC783" s="107">
        <v>23.45129</v>
      </c>
      <c r="BD783" s="107">
        <v>22.99715</v>
      </c>
      <c r="BE783" s="107"/>
      <c r="BF783" s="107"/>
      <c r="BG783" s="107"/>
      <c r="BH783" s="107"/>
      <c r="BI783" s="107"/>
      <c r="BJ783" s="107"/>
      <c r="BK783" s="107"/>
      <c r="BL783" s="107"/>
      <c r="BM783" s="107"/>
      <c r="BN783" s="107"/>
      <c r="BO783" s="107"/>
      <c r="BP783" s="107"/>
      <c r="BQ783" s="109"/>
      <c r="BR783" s="109"/>
      <c r="BS783" s="109"/>
      <c r="BT783" s="109"/>
      <c r="BU783" s="138"/>
    </row>
    <row r="784" spans="1:73" ht="39.75" customHeight="1" outlineLevel="2">
      <c r="A784" s="24" t="s">
        <v>1560</v>
      </c>
      <c r="B784" s="19" t="s">
        <v>627</v>
      </c>
      <c r="C784" s="20" t="s">
        <v>587</v>
      </c>
      <c r="D784" s="269">
        <v>243200019982</v>
      </c>
      <c r="E784" s="270" t="s">
        <v>2579</v>
      </c>
      <c r="F784" s="108">
        <f t="shared" si="125"/>
        <v>310.70222</v>
      </c>
      <c r="G784" s="106">
        <f t="shared" si="134"/>
        <v>163.70438000000001</v>
      </c>
      <c r="H784" s="106">
        <f t="shared" si="135"/>
        <v>146.99784</v>
      </c>
      <c r="I784" s="107"/>
      <c r="J784" s="107"/>
      <c r="K784" s="107"/>
      <c r="L784" s="107"/>
      <c r="M784" s="107"/>
      <c r="N784" s="107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7"/>
      <c r="Z784" s="107"/>
      <c r="AA784" s="159">
        <v>88.11003</v>
      </c>
      <c r="AB784" s="106">
        <v>59.42193</v>
      </c>
      <c r="AC784" s="107"/>
      <c r="AD784" s="107"/>
      <c r="AE784" s="107"/>
      <c r="AF784" s="107"/>
      <c r="AG784" s="107"/>
      <c r="AH784" s="107"/>
      <c r="AI784" s="107"/>
      <c r="AJ784" s="108">
        <v>13.443</v>
      </c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7"/>
      <c r="AV784" s="107"/>
      <c r="AW784" s="107"/>
      <c r="AX784" s="107"/>
      <c r="AY784" s="106"/>
      <c r="AZ784" s="107"/>
      <c r="BA784" s="107"/>
      <c r="BB784" s="107"/>
      <c r="BC784" s="107">
        <v>75.59435</v>
      </c>
      <c r="BD784" s="107">
        <v>74.13291</v>
      </c>
      <c r="BE784" s="107"/>
      <c r="BF784" s="107"/>
      <c r="BG784" s="107"/>
      <c r="BH784" s="107"/>
      <c r="BI784" s="107"/>
      <c r="BJ784" s="107"/>
      <c r="BK784" s="107"/>
      <c r="BL784" s="107"/>
      <c r="BM784" s="107"/>
      <c r="BN784" s="107"/>
      <c r="BO784" s="107"/>
      <c r="BP784" s="107"/>
      <c r="BQ784" s="109"/>
      <c r="BR784" s="109"/>
      <c r="BS784" s="109"/>
      <c r="BT784" s="109"/>
      <c r="BU784" s="138"/>
    </row>
    <row r="785" spans="1:73" ht="39.75" customHeight="1" outlineLevel="2">
      <c r="A785" s="24" t="s">
        <v>1560</v>
      </c>
      <c r="B785" s="19" t="s">
        <v>1631</v>
      </c>
      <c r="C785" s="20" t="s">
        <v>587</v>
      </c>
      <c r="D785" s="269">
        <v>243200002890</v>
      </c>
      <c r="E785" s="270" t="s">
        <v>2580</v>
      </c>
      <c r="F785" s="108">
        <f t="shared" si="125"/>
        <v>34.08803</v>
      </c>
      <c r="G785" s="106">
        <f t="shared" si="134"/>
        <v>9.61506</v>
      </c>
      <c r="H785" s="106">
        <f t="shared" si="135"/>
        <v>24.47297</v>
      </c>
      <c r="I785" s="107"/>
      <c r="J785" s="107"/>
      <c r="K785" s="107"/>
      <c r="L785" s="107"/>
      <c r="M785" s="107"/>
      <c r="N785" s="107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7"/>
      <c r="Z785" s="107"/>
      <c r="AA785" s="159"/>
      <c r="AB785" s="106"/>
      <c r="AC785" s="107"/>
      <c r="AD785" s="107"/>
      <c r="AE785" s="107"/>
      <c r="AF785" s="107"/>
      <c r="AG785" s="107"/>
      <c r="AH785" s="107"/>
      <c r="AI785" s="107"/>
      <c r="AJ785" s="108">
        <v>15.045</v>
      </c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7"/>
      <c r="AV785" s="107"/>
      <c r="AW785" s="107"/>
      <c r="AX785" s="107"/>
      <c r="AY785" s="106"/>
      <c r="AZ785" s="107"/>
      <c r="BA785" s="107"/>
      <c r="BB785" s="107"/>
      <c r="BC785" s="107">
        <v>9.61506</v>
      </c>
      <c r="BD785" s="107">
        <v>9.42797</v>
      </c>
      <c r="BE785" s="107"/>
      <c r="BF785" s="107"/>
      <c r="BG785" s="107"/>
      <c r="BH785" s="107"/>
      <c r="BI785" s="107"/>
      <c r="BJ785" s="107"/>
      <c r="BK785" s="107"/>
      <c r="BL785" s="107"/>
      <c r="BM785" s="107"/>
      <c r="BN785" s="107"/>
      <c r="BO785" s="107"/>
      <c r="BP785" s="107"/>
      <c r="BQ785" s="109"/>
      <c r="BR785" s="109"/>
      <c r="BS785" s="109"/>
      <c r="BT785" s="109"/>
      <c r="BU785" s="138"/>
    </row>
    <row r="786" spans="1:73" ht="39.75" customHeight="1" outlineLevel="2">
      <c r="A786" s="24" t="s">
        <v>1560</v>
      </c>
      <c r="B786" s="19" t="s">
        <v>279</v>
      </c>
      <c r="C786" s="20" t="s">
        <v>587</v>
      </c>
      <c r="D786" s="219" t="s">
        <v>1470</v>
      </c>
      <c r="E786" s="268" t="s">
        <v>2581</v>
      </c>
      <c r="F786" s="108">
        <f t="shared" si="125"/>
        <v>200.87669</v>
      </c>
      <c r="G786" s="106">
        <f t="shared" si="134"/>
        <v>99.92602</v>
      </c>
      <c r="H786" s="106">
        <f t="shared" si="135"/>
        <v>100.95067</v>
      </c>
      <c r="I786" s="107"/>
      <c r="J786" s="107"/>
      <c r="K786" s="107"/>
      <c r="L786" s="107"/>
      <c r="M786" s="107"/>
      <c r="N786" s="107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7"/>
      <c r="Z786" s="107"/>
      <c r="AA786" s="159">
        <v>51.79441</v>
      </c>
      <c r="AB786" s="106">
        <v>35.65316</v>
      </c>
      <c r="AC786" s="107"/>
      <c r="AD786" s="107"/>
      <c r="AE786" s="107"/>
      <c r="AF786" s="107"/>
      <c r="AG786" s="107"/>
      <c r="AH786" s="107"/>
      <c r="AI786" s="107"/>
      <c r="AJ786" s="108">
        <v>18.095799999999997</v>
      </c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7"/>
      <c r="AV786" s="107"/>
      <c r="AW786" s="107"/>
      <c r="AX786" s="107"/>
      <c r="AY786" s="106"/>
      <c r="AZ786" s="107"/>
      <c r="BA786" s="107"/>
      <c r="BB786" s="107"/>
      <c r="BC786" s="107">
        <v>48.13161</v>
      </c>
      <c r="BD786" s="107">
        <v>47.20171</v>
      </c>
      <c r="BE786" s="107"/>
      <c r="BF786" s="107"/>
      <c r="BG786" s="107"/>
      <c r="BH786" s="107"/>
      <c r="BI786" s="107"/>
      <c r="BJ786" s="107"/>
      <c r="BK786" s="107"/>
      <c r="BL786" s="107"/>
      <c r="BM786" s="107"/>
      <c r="BN786" s="107"/>
      <c r="BO786" s="107"/>
      <c r="BP786" s="107"/>
      <c r="BQ786" s="109"/>
      <c r="BR786" s="109"/>
      <c r="BS786" s="109"/>
      <c r="BT786" s="109"/>
      <c r="BU786" s="138"/>
    </row>
    <row r="787" spans="1:73" ht="39.75" customHeight="1" outlineLevel="2">
      <c r="A787" s="24" t="s">
        <v>1560</v>
      </c>
      <c r="B787" s="19" t="s">
        <v>93</v>
      </c>
      <c r="C787" s="20" t="s">
        <v>587</v>
      </c>
      <c r="D787" s="239">
        <v>244802186213</v>
      </c>
      <c r="E787" s="242" t="s">
        <v>2582</v>
      </c>
      <c r="F787" s="108">
        <f t="shared" si="125"/>
        <v>86.71447</v>
      </c>
      <c r="G787" s="106">
        <f t="shared" si="134"/>
        <v>29.06437</v>
      </c>
      <c r="H787" s="106">
        <f t="shared" si="135"/>
        <v>57.65010000000001</v>
      </c>
      <c r="I787" s="107"/>
      <c r="J787" s="107"/>
      <c r="K787" s="107"/>
      <c r="L787" s="107"/>
      <c r="M787" s="107"/>
      <c r="N787" s="107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7"/>
      <c r="Z787" s="107"/>
      <c r="AA787" s="159">
        <v>8.03706</v>
      </c>
      <c r="AB787" s="106">
        <v>5.94219</v>
      </c>
      <c r="AC787" s="107"/>
      <c r="AD787" s="107"/>
      <c r="AE787" s="107"/>
      <c r="AF787" s="107"/>
      <c r="AG787" s="107">
        <v>13.002</v>
      </c>
      <c r="AH787" s="107"/>
      <c r="AI787" s="107"/>
      <c r="AJ787" s="108">
        <v>0</v>
      </c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7"/>
      <c r="AV787" s="107"/>
      <c r="AW787" s="107"/>
      <c r="AX787" s="107"/>
      <c r="AY787" s="106">
        <v>7.28712</v>
      </c>
      <c r="AZ787" s="107">
        <v>10.8</v>
      </c>
      <c r="BA787" s="107"/>
      <c r="BB787" s="107"/>
      <c r="BC787" s="107">
        <v>21.02731</v>
      </c>
      <c r="BD787" s="107">
        <v>20.61879</v>
      </c>
      <c r="BE787" s="107"/>
      <c r="BF787" s="107"/>
      <c r="BG787" s="107"/>
      <c r="BH787" s="107"/>
      <c r="BI787" s="107"/>
      <c r="BJ787" s="107"/>
      <c r="BK787" s="107"/>
      <c r="BL787" s="107"/>
      <c r="BM787" s="107"/>
      <c r="BN787" s="107"/>
      <c r="BO787" s="107"/>
      <c r="BP787" s="107"/>
      <c r="BQ787" s="109"/>
      <c r="BR787" s="109"/>
      <c r="BS787" s="109"/>
      <c r="BT787" s="109"/>
      <c r="BU787" s="138"/>
    </row>
    <row r="788" spans="1:73" ht="39.75" customHeight="1" outlineLevel="2">
      <c r="A788" s="24" t="s">
        <v>1560</v>
      </c>
      <c r="B788" s="19" t="s">
        <v>1386</v>
      </c>
      <c r="C788" s="20" t="s">
        <v>587</v>
      </c>
      <c r="D788" s="239">
        <v>241601690440</v>
      </c>
      <c r="E788" s="242" t="s">
        <v>2583</v>
      </c>
      <c r="F788" s="108">
        <f t="shared" si="125"/>
        <v>199.44723</v>
      </c>
      <c r="G788" s="106">
        <f t="shared" si="134"/>
        <v>99.82033</v>
      </c>
      <c r="H788" s="106">
        <f t="shared" si="135"/>
        <v>99.6269</v>
      </c>
      <c r="I788" s="107"/>
      <c r="J788" s="107"/>
      <c r="K788" s="107"/>
      <c r="L788" s="107"/>
      <c r="M788" s="107"/>
      <c r="N788" s="107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7"/>
      <c r="Z788" s="107"/>
      <c r="AA788" s="159"/>
      <c r="AB788" s="106"/>
      <c r="AC788" s="107"/>
      <c r="AD788" s="107"/>
      <c r="AE788" s="107"/>
      <c r="AF788" s="107"/>
      <c r="AG788" s="107"/>
      <c r="AH788" s="107"/>
      <c r="AI788" s="107"/>
      <c r="AJ788" s="108">
        <v>0</v>
      </c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7"/>
      <c r="AV788" s="107"/>
      <c r="AW788" s="107"/>
      <c r="AX788" s="107"/>
      <c r="AY788" s="106"/>
      <c r="AZ788" s="107"/>
      <c r="BA788" s="107"/>
      <c r="BB788" s="107"/>
      <c r="BC788" s="107">
        <v>99.82033</v>
      </c>
      <c r="BD788" s="107">
        <v>99.6269</v>
      </c>
      <c r="BE788" s="107"/>
      <c r="BF788" s="107"/>
      <c r="BG788" s="107"/>
      <c r="BH788" s="107"/>
      <c r="BI788" s="107"/>
      <c r="BJ788" s="107"/>
      <c r="BK788" s="107"/>
      <c r="BL788" s="107"/>
      <c r="BM788" s="107"/>
      <c r="BN788" s="107"/>
      <c r="BO788" s="107"/>
      <c r="BP788" s="107"/>
      <c r="BQ788" s="109"/>
      <c r="BR788" s="109"/>
      <c r="BS788" s="109"/>
      <c r="BT788" s="109"/>
      <c r="BU788" s="138"/>
    </row>
    <row r="789" spans="1:73" ht="39.75" customHeight="1" outlineLevel="2">
      <c r="A789" s="24" t="s">
        <v>1560</v>
      </c>
      <c r="B789" s="19" t="s">
        <v>1821</v>
      </c>
      <c r="C789" s="20" t="s">
        <v>587</v>
      </c>
      <c r="D789" s="239">
        <v>245300537131</v>
      </c>
      <c r="E789" s="242" t="s">
        <v>2584</v>
      </c>
      <c r="F789" s="108">
        <f t="shared" si="125"/>
        <v>116.4441</v>
      </c>
      <c r="G789" s="106">
        <f t="shared" si="134"/>
        <v>0</v>
      </c>
      <c r="H789" s="106">
        <f t="shared" si="135"/>
        <v>116.4441</v>
      </c>
      <c r="I789" s="107"/>
      <c r="J789" s="107"/>
      <c r="K789" s="107"/>
      <c r="L789" s="107"/>
      <c r="M789" s="107"/>
      <c r="N789" s="107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7"/>
      <c r="Z789" s="107"/>
      <c r="AA789" s="159"/>
      <c r="AB789" s="106"/>
      <c r="AC789" s="107"/>
      <c r="AD789" s="107"/>
      <c r="AE789" s="107"/>
      <c r="AF789" s="107"/>
      <c r="AG789" s="107"/>
      <c r="AH789" s="107"/>
      <c r="AI789" s="107"/>
      <c r="AJ789" s="108">
        <v>0</v>
      </c>
      <c r="AK789" s="107"/>
      <c r="AL789" s="107"/>
      <c r="AM789" s="107"/>
      <c r="AN789" s="107">
        <v>116.4441</v>
      </c>
      <c r="AO789" s="107"/>
      <c r="AP789" s="107"/>
      <c r="AQ789" s="107"/>
      <c r="AR789" s="107"/>
      <c r="AS789" s="107"/>
      <c r="AT789" s="107"/>
      <c r="AU789" s="107"/>
      <c r="AV789" s="107"/>
      <c r="AW789" s="107"/>
      <c r="AX789" s="107"/>
      <c r="AY789" s="106"/>
      <c r="AZ789" s="107"/>
      <c r="BA789" s="107"/>
      <c r="BB789" s="107"/>
      <c r="BC789" s="107"/>
      <c r="BD789" s="107"/>
      <c r="BE789" s="107"/>
      <c r="BF789" s="107"/>
      <c r="BG789" s="107"/>
      <c r="BH789" s="107"/>
      <c r="BI789" s="107"/>
      <c r="BJ789" s="107"/>
      <c r="BK789" s="107"/>
      <c r="BL789" s="107"/>
      <c r="BM789" s="107"/>
      <c r="BN789" s="107"/>
      <c r="BO789" s="107"/>
      <c r="BP789" s="107"/>
      <c r="BQ789" s="109"/>
      <c r="BR789" s="109"/>
      <c r="BS789" s="109"/>
      <c r="BT789" s="109"/>
      <c r="BU789" s="138"/>
    </row>
    <row r="790" spans="1:73" ht="39.75" customHeight="1" outlineLevel="2">
      <c r="A790" s="24" t="s">
        <v>1560</v>
      </c>
      <c r="B790" s="19" t="s">
        <v>91</v>
      </c>
      <c r="C790" s="20" t="s">
        <v>710</v>
      </c>
      <c r="D790" s="218" t="s">
        <v>1705</v>
      </c>
      <c r="E790" s="220" t="s">
        <v>2585</v>
      </c>
      <c r="F790" s="108">
        <f t="shared" si="125"/>
        <v>319.18064000000004</v>
      </c>
      <c r="G790" s="106">
        <f t="shared" si="134"/>
        <v>158.91529</v>
      </c>
      <c r="H790" s="106">
        <f t="shared" si="135"/>
        <v>160.26535</v>
      </c>
      <c r="I790" s="107"/>
      <c r="J790" s="107"/>
      <c r="K790" s="107"/>
      <c r="L790" s="107"/>
      <c r="M790" s="107"/>
      <c r="N790" s="107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7"/>
      <c r="Z790" s="107"/>
      <c r="AA790" s="159">
        <v>85.13334</v>
      </c>
      <c r="AB790" s="106">
        <v>59.42193</v>
      </c>
      <c r="AC790" s="107"/>
      <c r="AD790" s="107"/>
      <c r="AE790" s="107"/>
      <c r="AF790" s="107"/>
      <c r="AG790" s="107"/>
      <c r="AH790" s="107"/>
      <c r="AI790" s="107"/>
      <c r="AJ790" s="108">
        <v>28.488</v>
      </c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7"/>
      <c r="AV790" s="107"/>
      <c r="AW790" s="107"/>
      <c r="AX790" s="107"/>
      <c r="AY790" s="106"/>
      <c r="AZ790" s="107"/>
      <c r="BA790" s="107"/>
      <c r="BB790" s="107"/>
      <c r="BC790" s="107">
        <v>73.78195</v>
      </c>
      <c r="BD790" s="107">
        <v>72.35542</v>
      </c>
      <c r="BE790" s="107"/>
      <c r="BF790" s="107"/>
      <c r="BG790" s="107"/>
      <c r="BH790" s="107"/>
      <c r="BI790" s="107"/>
      <c r="BJ790" s="107"/>
      <c r="BK790" s="107"/>
      <c r="BL790" s="107"/>
      <c r="BM790" s="107"/>
      <c r="BN790" s="107"/>
      <c r="BO790" s="107"/>
      <c r="BP790" s="107"/>
      <c r="BQ790" s="109"/>
      <c r="BR790" s="109"/>
      <c r="BS790" s="109"/>
      <c r="BT790" s="109"/>
      <c r="BU790" s="138"/>
    </row>
    <row r="791" spans="1:73" ht="38.25" customHeight="1" outlineLevel="2">
      <c r="A791" s="24" t="s">
        <v>1560</v>
      </c>
      <c r="B791" s="19" t="s">
        <v>1366</v>
      </c>
      <c r="C791" s="20" t="s">
        <v>934</v>
      </c>
      <c r="D791" s="218" t="s">
        <v>1367</v>
      </c>
      <c r="E791" s="203" t="s">
        <v>2587</v>
      </c>
      <c r="F791" s="108">
        <f t="shared" si="125"/>
        <v>2366.19462</v>
      </c>
      <c r="G791" s="106">
        <f t="shared" si="134"/>
        <v>0</v>
      </c>
      <c r="H791" s="106">
        <f t="shared" si="135"/>
        <v>2366.19462</v>
      </c>
      <c r="I791" s="107"/>
      <c r="J791" s="107"/>
      <c r="K791" s="107"/>
      <c r="L791" s="107"/>
      <c r="M791" s="107"/>
      <c r="N791" s="107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7"/>
      <c r="Z791" s="107"/>
      <c r="AA791" s="106"/>
      <c r="AB791" s="106"/>
      <c r="AC791" s="107"/>
      <c r="AD791" s="107"/>
      <c r="AE791" s="107"/>
      <c r="AF791" s="107"/>
      <c r="AG791" s="107"/>
      <c r="AH791" s="107"/>
      <c r="AI791" s="107"/>
      <c r="AJ791" s="108">
        <v>0</v>
      </c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7"/>
      <c r="AV791" s="107"/>
      <c r="AW791" s="107"/>
      <c r="AX791" s="107"/>
      <c r="AY791" s="106"/>
      <c r="AZ791" s="107"/>
      <c r="BA791" s="107"/>
      <c r="BB791" s="107"/>
      <c r="BC791" s="107"/>
      <c r="BD791" s="107"/>
      <c r="BE791" s="107"/>
      <c r="BF791" s="107"/>
      <c r="BG791" s="107"/>
      <c r="BH791" s="107"/>
      <c r="BI791" s="107"/>
      <c r="BJ791" s="107">
        <v>2366.19462</v>
      </c>
      <c r="BK791" s="107"/>
      <c r="BL791" s="107"/>
      <c r="BM791" s="107"/>
      <c r="BN791" s="107"/>
      <c r="BO791" s="107"/>
      <c r="BP791" s="107"/>
      <c r="BQ791" s="109"/>
      <c r="BR791" s="109"/>
      <c r="BS791" s="109"/>
      <c r="BT791" s="109"/>
      <c r="BU791" s="138"/>
    </row>
    <row r="792" spans="1:73" ht="39" customHeight="1" outlineLevel="2" thickBot="1">
      <c r="A792" s="35" t="s">
        <v>1560</v>
      </c>
      <c r="B792" s="37" t="s">
        <v>476</v>
      </c>
      <c r="C792" s="20" t="s">
        <v>934</v>
      </c>
      <c r="D792" s="218" t="s">
        <v>612</v>
      </c>
      <c r="E792" s="203" t="s">
        <v>2586</v>
      </c>
      <c r="F792" s="108">
        <f t="shared" si="125"/>
        <v>3350.04043</v>
      </c>
      <c r="G792" s="106">
        <f t="shared" si="134"/>
        <v>0</v>
      </c>
      <c r="H792" s="106">
        <f t="shared" si="135"/>
        <v>3350.04043</v>
      </c>
      <c r="I792" s="107"/>
      <c r="J792" s="107"/>
      <c r="K792" s="107"/>
      <c r="L792" s="107"/>
      <c r="M792" s="107"/>
      <c r="N792" s="107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7"/>
      <c r="Z792" s="107"/>
      <c r="AA792" s="106"/>
      <c r="AB792" s="106"/>
      <c r="AC792" s="107"/>
      <c r="AD792" s="107"/>
      <c r="AE792" s="107"/>
      <c r="AF792" s="107"/>
      <c r="AG792" s="107"/>
      <c r="AH792" s="107"/>
      <c r="AI792" s="107"/>
      <c r="AJ792" s="108">
        <v>0</v>
      </c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7"/>
      <c r="AV792" s="107"/>
      <c r="AW792" s="107"/>
      <c r="AX792" s="107"/>
      <c r="AY792" s="106"/>
      <c r="AZ792" s="107"/>
      <c r="BA792" s="107"/>
      <c r="BB792" s="107"/>
      <c r="BC792" s="107"/>
      <c r="BD792" s="107"/>
      <c r="BE792" s="107"/>
      <c r="BF792" s="107"/>
      <c r="BG792" s="107"/>
      <c r="BH792" s="107"/>
      <c r="BI792" s="107"/>
      <c r="BJ792" s="107">
        <v>57.70548</v>
      </c>
      <c r="BK792" s="107"/>
      <c r="BL792" s="107"/>
      <c r="BM792" s="107"/>
      <c r="BN792" s="107">
        <v>3292.33495</v>
      </c>
      <c r="BO792" s="107"/>
      <c r="BP792" s="107"/>
      <c r="BQ792" s="109"/>
      <c r="BR792" s="109"/>
      <c r="BS792" s="109"/>
      <c r="BT792" s="109"/>
      <c r="BU792" s="138"/>
    </row>
    <row r="793" spans="1:73" s="32" customFormat="1" ht="21" outlineLevel="1" thickBot="1">
      <c r="A793" s="40" t="s">
        <v>1228</v>
      </c>
      <c r="B793" s="41"/>
      <c r="C793" s="30" t="s">
        <v>1572</v>
      </c>
      <c r="D793" s="222"/>
      <c r="E793" s="223"/>
      <c r="F793" s="117">
        <f aca="true" t="shared" si="136" ref="F793:AV793">SUBTOTAL(9,F766:F792)</f>
        <v>109687.84951000001</v>
      </c>
      <c r="G793" s="117">
        <f t="shared" si="136"/>
        <v>38914.53457999999</v>
      </c>
      <c r="H793" s="117">
        <f t="shared" si="136"/>
        <v>70773.31493</v>
      </c>
      <c r="I793" s="117">
        <f t="shared" si="136"/>
        <v>395.17696</v>
      </c>
      <c r="J793" s="117">
        <f t="shared" si="136"/>
        <v>104.05203</v>
      </c>
      <c r="K793" s="117">
        <f t="shared" si="136"/>
        <v>4882.80165</v>
      </c>
      <c r="L793" s="117">
        <f t="shared" si="136"/>
        <v>999.61049</v>
      </c>
      <c r="M793" s="117">
        <f t="shared" si="136"/>
        <v>0</v>
      </c>
      <c r="N793" s="117">
        <f t="shared" si="136"/>
        <v>0</v>
      </c>
      <c r="O793" s="117">
        <f t="shared" si="136"/>
        <v>0</v>
      </c>
      <c r="P793" s="117">
        <f t="shared" si="136"/>
        <v>0</v>
      </c>
      <c r="Q793" s="117">
        <f t="shared" si="136"/>
        <v>0</v>
      </c>
      <c r="R793" s="117">
        <f t="shared" si="136"/>
        <v>0</v>
      </c>
      <c r="S793" s="117">
        <f t="shared" si="136"/>
        <v>783.11051</v>
      </c>
      <c r="T793" s="117">
        <f t="shared" si="136"/>
        <v>391.5553</v>
      </c>
      <c r="U793" s="117">
        <f t="shared" si="136"/>
        <v>0</v>
      </c>
      <c r="V793" s="117">
        <f t="shared" si="136"/>
        <v>0</v>
      </c>
      <c r="W793" s="117">
        <f t="shared" si="136"/>
        <v>0</v>
      </c>
      <c r="X793" s="117">
        <f t="shared" si="136"/>
        <v>0</v>
      </c>
      <c r="Y793" s="117">
        <f t="shared" si="136"/>
        <v>985.3511399999999</v>
      </c>
      <c r="Z793" s="117">
        <f t="shared" si="136"/>
        <v>1703.68875</v>
      </c>
      <c r="AA793" s="117">
        <f t="shared" si="136"/>
        <v>7008.122889999999</v>
      </c>
      <c r="AB793" s="117">
        <f t="shared" si="136"/>
        <v>4525.7720500000005</v>
      </c>
      <c r="AC793" s="117">
        <f t="shared" si="136"/>
        <v>0</v>
      </c>
      <c r="AD793" s="117">
        <f t="shared" si="136"/>
        <v>0</v>
      </c>
      <c r="AE793" s="117">
        <f t="shared" si="136"/>
        <v>0</v>
      </c>
      <c r="AF793" s="117">
        <f t="shared" si="136"/>
        <v>0</v>
      </c>
      <c r="AG793" s="117">
        <f t="shared" si="136"/>
        <v>254.9574</v>
      </c>
      <c r="AH793" s="117">
        <f t="shared" si="136"/>
        <v>0</v>
      </c>
      <c r="AI793" s="117">
        <f t="shared" si="136"/>
        <v>0</v>
      </c>
      <c r="AJ793" s="117">
        <f>SUBTOTAL(9,AJ766:AJ792)</f>
        <v>7100.039320000001</v>
      </c>
      <c r="AK793" s="117">
        <f t="shared" si="136"/>
        <v>132.995</v>
      </c>
      <c r="AL793" s="117">
        <f t="shared" si="136"/>
        <v>0</v>
      </c>
      <c r="AM793" s="117">
        <f t="shared" si="136"/>
        <v>60.528</v>
      </c>
      <c r="AN793" s="117">
        <f t="shared" si="136"/>
        <v>116.4441</v>
      </c>
      <c r="AO793" s="117">
        <f t="shared" si="136"/>
        <v>0</v>
      </c>
      <c r="AP793" s="117">
        <f t="shared" si="136"/>
        <v>0</v>
      </c>
      <c r="AQ793" s="117">
        <f t="shared" si="136"/>
        <v>4.375</v>
      </c>
      <c r="AR793" s="117">
        <f t="shared" si="136"/>
        <v>0</v>
      </c>
      <c r="AS793" s="117">
        <f t="shared" si="136"/>
        <v>0</v>
      </c>
      <c r="AT793" s="117">
        <f t="shared" si="136"/>
        <v>0</v>
      </c>
      <c r="AU793" s="117">
        <f t="shared" si="136"/>
        <v>0</v>
      </c>
      <c r="AV793" s="117">
        <f t="shared" si="136"/>
        <v>0</v>
      </c>
      <c r="AW793" s="117">
        <f aca="true" t="shared" si="137" ref="AW793:BU793">SUBTOTAL(9,AW766:AW792)</f>
        <v>226.72</v>
      </c>
      <c r="AX793" s="117">
        <f t="shared" si="137"/>
        <v>7966.38424</v>
      </c>
      <c r="AY793" s="117">
        <f t="shared" si="137"/>
        <v>6580.0136999999995</v>
      </c>
      <c r="AZ793" s="117">
        <f t="shared" si="137"/>
        <v>2686.194</v>
      </c>
      <c r="BA793" s="117">
        <f t="shared" si="137"/>
        <v>12579.123000000001</v>
      </c>
      <c r="BB793" s="117">
        <f t="shared" si="137"/>
        <v>0</v>
      </c>
      <c r="BC793" s="117">
        <f t="shared" si="137"/>
        <v>16560.587190000002</v>
      </c>
      <c r="BD793" s="117">
        <f t="shared" si="137"/>
        <v>16249.512320000002</v>
      </c>
      <c r="BE793" s="117">
        <f t="shared" si="137"/>
        <v>641.964</v>
      </c>
      <c r="BF793" s="117">
        <f t="shared" si="137"/>
        <v>0</v>
      </c>
      <c r="BG793" s="117">
        <f t="shared" si="137"/>
        <v>0</v>
      </c>
      <c r="BH793" s="117">
        <f t="shared" si="137"/>
        <v>0</v>
      </c>
      <c r="BI793" s="117">
        <f t="shared" si="137"/>
        <v>0</v>
      </c>
      <c r="BJ793" s="117">
        <f t="shared" si="137"/>
        <v>10434.127110000001</v>
      </c>
      <c r="BK793" s="117"/>
      <c r="BL793" s="117">
        <f t="shared" si="137"/>
        <v>0</v>
      </c>
      <c r="BM793" s="117">
        <f t="shared" si="137"/>
        <v>810.94941</v>
      </c>
      <c r="BN793" s="117">
        <f t="shared" si="137"/>
        <v>3292.33495</v>
      </c>
      <c r="BO793" s="117">
        <f t="shared" si="137"/>
        <v>0</v>
      </c>
      <c r="BP793" s="117">
        <f t="shared" si="137"/>
        <v>0</v>
      </c>
      <c r="BQ793" s="117">
        <f t="shared" si="137"/>
        <v>0</v>
      </c>
      <c r="BR793" s="117">
        <f t="shared" si="137"/>
        <v>0</v>
      </c>
      <c r="BS793" s="117">
        <f t="shared" si="137"/>
        <v>0</v>
      </c>
      <c r="BT793" s="117">
        <f t="shared" si="137"/>
        <v>333</v>
      </c>
      <c r="BU793" s="117">
        <f t="shared" si="137"/>
        <v>1878.359</v>
      </c>
    </row>
    <row r="794" spans="1:73" ht="37.5" customHeight="1" outlineLevel="2">
      <c r="A794" s="24" t="s">
        <v>15</v>
      </c>
      <c r="B794" s="19" t="s">
        <v>1010</v>
      </c>
      <c r="C794" s="53" t="s">
        <v>1496</v>
      </c>
      <c r="D794" s="218" t="s">
        <v>1268</v>
      </c>
      <c r="E794" s="271" t="s">
        <v>2588</v>
      </c>
      <c r="F794" s="108">
        <f aca="true" t="shared" si="138" ref="F794:F846">G794+H794</f>
        <v>3398.92164</v>
      </c>
      <c r="G794" s="106">
        <f>I794+K794+O794+S794+U794+W794+Y794+AA794+AC794+AE794+AR794+AX794+BC794+BG794+BP794+BR794+BT794+AO794</f>
        <v>693.7415599999999</v>
      </c>
      <c r="H794" s="106">
        <f>J794+L794+M794+N794+P794+Q794+R794+T794+V794+X794+Z794+AB794+AD794+AF794+AG794+AJ794+AL794+AS794+AT794+AU794+AV794+AW794+AY794+AZ794+BA794+BB794+BD794+BE794+BF794+BH794+BI794+BJ794+BL794+BM794+BN794+BO794+BQ794+BS794+BU794+AH794+AI794+AK794+AM794+AN794+AP794+AQ794+BK794</f>
        <v>2705.18008</v>
      </c>
      <c r="I794" s="107"/>
      <c r="J794" s="107"/>
      <c r="K794" s="107"/>
      <c r="L794" s="107"/>
      <c r="M794" s="107"/>
      <c r="N794" s="107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7">
        <v>28.17783</v>
      </c>
      <c r="Z794" s="107">
        <v>51.909</v>
      </c>
      <c r="AA794" s="159">
        <v>337.18214</v>
      </c>
      <c r="AB794" s="106">
        <v>177.27542</v>
      </c>
      <c r="AC794" s="107"/>
      <c r="AD794" s="107"/>
      <c r="AE794" s="107"/>
      <c r="AF794" s="107"/>
      <c r="AG794" s="107"/>
      <c r="AH794" s="107"/>
      <c r="AI794" s="107"/>
      <c r="AJ794" s="108">
        <v>126.13288</v>
      </c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7"/>
      <c r="AV794" s="107"/>
      <c r="AW794" s="107"/>
      <c r="AX794" s="107"/>
      <c r="AY794" s="106"/>
      <c r="AZ794" s="107"/>
      <c r="BA794" s="107">
        <v>454.8579</v>
      </c>
      <c r="BB794" s="107"/>
      <c r="BC794" s="107">
        <v>328.38159</v>
      </c>
      <c r="BD794" s="107">
        <v>322.036</v>
      </c>
      <c r="BE794" s="107"/>
      <c r="BF794" s="107"/>
      <c r="BG794" s="107"/>
      <c r="BH794" s="107"/>
      <c r="BI794" s="107"/>
      <c r="BJ794" s="107">
        <v>1572.96888</v>
      </c>
      <c r="BK794" s="107"/>
      <c r="BL794" s="107"/>
      <c r="BM794" s="107"/>
      <c r="BN794" s="107"/>
      <c r="BO794" s="107"/>
      <c r="BP794" s="107"/>
      <c r="BQ794" s="109"/>
      <c r="BR794" s="109"/>
      <c r="BS794" s="109"/>
      <c r="BT794" s="109"/>
      <c r="BU794" s="138"/>
    </row>
    <row r="795" spans="1:73" ht="34.5" customHeight="1" outlineLevel="2">
      <c r="A795" s="35" t="s">
        <v>15</v>
      </c>
      <c r="B795" s="37" t="s">
        <v>1009</v>
      </c>
      <c r="C795" s="20" t="s">
        <v>1496</v>
      </c>
      <c r="D795" s="218" t="s">
        <v>1250</v>
      </c>
      <c r="E795" s="203" t="s">
        <v>2592</v>
      </c>
      <c r="F795" s="108">
        <f t="shared" si="138"/>
        <v>3988.57379</v>
      </c>
      <c r="G795" s="106">
        <f aca="true" t="shared" si="139" ref="G795:G818">I795+K795+O795+S795+U795+W795+Y795+AA795+AC795+AE795+AR795+AX795+BC795+BG795+BP795+BR795+BT795+AO795</f>
        <v>674.7033200000001</v>
      </c>
      <c r="H795" s="106">
        <f aca="true" t="shared" si="140" ref="H795:H818">J795+L795+M795+N795+P795+Q795+R795+T795+V795+X795+Z795+AB795+AD795+AF795+AG795+AJ795+AL795+AS795+AT795+AU795+AV795+AW795+AY795+AZ795+BA795+BB795+BD795+BE795+BF795+BH795+BI795+BJ795+BL795+BM795+BN795+BO795+BQ795+BS795+BU795+AH795+AI795+AK795+AM795+AN795+AP795+AQ795+BK795</f>
        <v>3313.87047</v>
      </c>
      <c r="I795" s="107"/>
      <c r="J795" s="107"/>
      <c r="K795" s="107">
        <v>412.02728</v>
      </c>
      <c r="L795" s="107">
        <v>84.25237</v>
      </c>
      <c r="M795" s="107">
        <v>260.64636</v>
      </c>
      <c r="N795" s="107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7">
        <v>15.2</v>
      </c>
      <c r="Z795" s="107">
        <v>39.93</v>
      </c>
      <c r="AA795" s="159">
        <v>73.36731</v>
      </c>
      <c r="AB795" s="106">
        <v>35.65316</v>
      </c>
      <c r="AC795" s="107"/>
      <c r="AD795" s="107"/>
      <c r="AE795" s="107"/>
      <c r="AF795" s="107"/>
      <c r="AG795" s="107"/>
      <c r="AH795" s="107"/>
      <c r="AI795" s="107"/>
      <c r="AJ795" s="108">
        <v>31.18776</v>
      </c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7"/>
      <c r="AV795" s="107"/>
      <c r="AW795" s="107"/>
      <c r="AX795" s="107"/>
      <c r="AY795" s="106"/>
      <c r="AZ795" s="107"/>
      <c r="BA795" s="107">
        <v>95.9553</v>
      </c>
      <c r="BB795" s="107"/>
      <c r="BC795" s="107">
        <v>174.10873</v>
      </c>
      <c r="BD795" s="107">
        <v>170.74087</v>
      </c>
      <c r="BE795" s="107"/>
      <c r="BF795" s="107"/>
      <c r="BG795" s="107"/>
      <c r="BH795" s="107"/>
      <c r="BI795" s="107"/>
      <c r="BJ795" s="107">
        <v>2595.50465</v>
      </c>
      <c r="BK795" s="107"/>
      <c r="BL795" s="107"/>
      <c r="BM795" s="107"/>
      <c r="BN795" s="107"/>
      <c r="BO795" s="107"/>
      <c r="BP795" s="107"/>
      <c r="BQ795" s="109"/>
      <c r="BR795" s="109"/>
      <c r="BS795" s="109"/>
      <c r="BT795" s="109"/>
      <c r="BU795" s="138"/>
    </row>
    <row r="796" spans="1:73" ht="39.75" customHeight="1" outlineLevel="2">
      <c r="A796" s="35" t="s">
        <v>15</v>
      </c>
      <c r="B796" s="37" t="s">
        <v>1055</v>
      </c>
      <c r="C796" s="20" t="s">
        <v>1496</v>
      </c>
      <c r="D796" s="218" t="s">
        <v>188</v>
      </c>
      <c r="E796" s="203" t="s">
        <v>2595</v>
      </c>
      <c r="F796" s="108">
        <f t="shared" si="138"/>
        <v>1788.07166</v>
      </c>
      <c r="G796" s="106">
        <f t="shared" si="139"/>
        <v>498.89550999999994</v>
      </c>
      <c r="H796" s="106">
        <f t="shared" si="140"/>
        <v>1289.17615</v>
      </c>
      <c r="I796" s="107"/>
      <c r="J796" s="107"/>
      <c r="K796" s="107">
        <v>265.94007</v>
      </c>
      <c r="L796" s="107"/>
      <c r="M796" s="107"/>
      <c r="N796" s="107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7">
        <v>20.07516</v>
      </c>
      <c r="Z796" s="107">
        <v>33.9405</v>
      </c>
      <c r="AA796" s="106">
        <v>81.35095</v>
      </c>
      <c r="AB796" s="106">
        <v>39.61462</v>
      </c>
      <c r="AC796" s="107"/>
      <c r="AD796" s="107"/>
      <c r="AE796" s="107"/>
      <c r="AF796" s="107"/>
      <c r="AG796" s="107"/>
      <c r="AH796" s="107"/>
      <c r="AI796" s="107"/>
      <c r="AJ796" s="108">
        <v>0</v>
      </c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7"/>
      <c r="AV796" s="107"/>
      <c r="AW796" s="107"/>
      <c r="AX796" s="107"/>
      <c r="AY796" s="106"/>
      <c r="AZ796" s="107"/>
      <c r="BA796" s="107">
        <v>299.88625</v>
      </c>
      <c r="BB796" s="107"/>
      <c r="BC796" s="107">
        <v>131.52933</v>
      </c>
      <c r="BD796" s="107">
        <v>128.98224</v>
      </c>
      <c r="BE796" s="107"/>
      <c r="BF796" s="107"/>
      <c r="BG796" s="107"/>
      <c r="BH796" s="107"/>
      <c r="BI796" s="107"/>
      <c r="BJ796" s="107">
        <v>786.75254</v>
      </c>
      <c r="BK796" s="107"/>
      <c r="BL796" s="107"/>
      <c r="BM796" s="107"/>
      <c r="BN796" s="107"/>
      <c r="BO796" s="107"/>
      <c r="BP796" s="107"/>
      <c r="BQ796" s="109"/>
      <c r="BR796" s="109"/>
      <c r="BS796" s="109"/>
      <c r="BT796" s="109"/>
      <c r="BU796" s="138"/>
    </row>
    <row r="797" spans="1:73" ht="39.75" customHeight="1" outlineLevel="2">
      <c r="A797" s="24" t="s">
        <v>15</v>
      </c>
      <c r="B797" s="19" t="s">
        <v>1008</v>
      </c>
      <c r="C797" s="20" t="s">
        <v>1496</v>
      </c>
      <c r="D797" s="218" t="s">
        <v>237</v>
      </c>
      <c r="E797" s="203" t="s">
        <v>2591</v>
      </c>
      <c r="F797" s="108">
        <f t="shared" si="138"/>
        <v>2008.5116299999997</v>
      </c>
      <c r="G797" s="106">
        <f t="shared" si="139"/>
        <v>802.3549399999999</v>
      </c>
      <c r="H797" s="106">
        <f t="shared" si="140"/>
        <v>1206.1566899999998</v>
      </c>
      <c r="I797" s="107"/>
      <c r="J797" s="107"/>
      <c r="K797" s="124">
        <v>27.24722</v>
      </c>
      <c r="L797" s="107">
        <v>6.51254</v>
      </c>
      <c r="M797" s="107"/>
      <c r="N797" s="107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7">
        <v>19.76</v>
      </c>
      <c r="Z797" s="107">
        <v>51.909</v>
      </c>
      <c r="AA797" s="159">
        <v>378.61032</v>
      </c>
      <c r="AB797" s="106">
        <v>166.57947</v>
      </c>
      <c r="AC797" s="107"/>
      <c r="AD797" s="107"/>
      <c r="AE797" s="107"/>
      <c r="AF797" s="107"/>
      <c r="AG797" s="107"/>
      <c r="AH797" s="107"/>
      <c r="AI797" s="107"/>
      <c r="AJ797" s="108">
        <v>126.13288</v>
      </c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7"/>
      <c r="AV797" s="107"/>
      <c r="AW797" s="107"/>
      <c r="AX797" s="107"/>
      <c r="AY797" s="106"/>
      <c r="AZ797" s="107"/>
      <c r="BA797" s="107">
        <v>485.55535</v>
      </c>
      <c r="BB797" s="107"/>
      <c r="BC797" s="107">
        <v>376.7374</v>
      </c>
      <c r="BD797" s="107">
        <v>369.46745</v>
      </c>
      <c r="BE797" s="107"/>
      <c r="BF797" s="107"/>
      <c r="BG797" s="107"/>
      <c r="BH797" s="107"/>
      <c r="BI797" s="107"/>
      <c r="BJ797" s="107"/>
      <c r="BK797" s="107"/>
      <c r="BL797" s="107"/>
      <c r="BM797" s="107"/>
      <c r="BN797" s="107"/>
      <c r="BO797" s="107"/>
      <c r="BP797" s="107"/>
      <c r="BQ797" s="109"/>
      <c r="BR797" s="109"/>
      <c r="BS797" s="109"/>
      <c r="BT797" s="109"/>
      <c r="BU797" s="138"/>
    </row>
    <row r="798" spans="1:73" ht="45.75" customHeight="1" outlineLevel="2">
      <c r="A798" s="24" t="s">
        <v>15</v>
      </c>
      <c r="B798" s="19" t="s">
        <v>569</v>
      </c>
      <c r="C798" s="20" t="s">
        <v>1496</v>
      </c>
      <c r="D798" s="209">
        <v>2433003767</v>
      </c>
      <c r="E798" s="203" t="s">
        <v>2596</v>
      </c>
      <c r="F798" s="108">
        <f t="shared" si="138"/>
        <v>99.71925999999999</v>
      </c>
      <c r="G798" s="106">
        <f t="shared" si="139"/>
        <v>53.08092</v>
      </c>
      <c r="H798" s="106">
        <f t="shared" si="140"/>
        <v>46.63834</v>
      </c>
      <c r="I798" s="107"/>
      <c r="J798" s="107"/>
      <c r="K798" s="107"/>
      <c r="L798" s="107"/>
      <c r="M798" s="107"/>
      <c r="N798" s="107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7"/>
      <c r="Z798" s="107"/>
      <c r="AA798" s="159">
        <v>15.82419</v>
      </c>
      <c r="AB798" s="106">
        <v>10.10173</v>
      </c>
      <c r="AC798" s="107"/>
      <c r="AD798" s="107"/>
      <c r="AE798" s="107"/>
      <c r="AF798" s="107"/>
      <c r="AG798" s="107"/>
      <c r="AH798" s="107"/>
      <c r="AI798" s="107"/>
      <c r="AJ798" s="108">
        <v>0</v>
      </c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7"/>
      <c r="AV798" s="107"/>
      <c r="AW798" s="107"/>
      <c r="AX798" s="107"/>
      <c r="AY798" s="106"/>
      <c r="AZ798" s="107"/>
      <c r="BA798" s="107"/>
      <c r="BB798" s="107"/>
      <c r="BC798" s="107">
        <v>37.25673</v>
      </c>
      <c r="BD798" s="107">
        <v>36.53661</v>
      </c>
      <c r="BE798" s="107"/>
      <c r="BF798" s="107"/>
      <c r="BG798" s="107"/>
      <c r="BH798" s="107"/>
      <c r="BI798" s="107"/>
      <c r="BJ798" s="107"/>
      <c r="BK798" s="107"/>
      <c r="BL798" s="107"/>
      <c r="BM798" s="107"/>
      <c r="BN798" s="107"/>
      <c r="BO798" s="107"/>
      <c r="BP798" s="107"/>
      <c r="BQ798" s="109"/>
      <c r="BR798" s="109"/>
      <c r="BS798" s="109"/>
      <c r="BT798" s="109"/>
      <c r="BU798" s="138"/>
    </row>
    <row r="799" spans="1:73" ht="44.25" customHeight="1" outlineLevel="2">
      <c r="A799" s="19" t="s">
        <v>15</v>
      </c>
      <c r="B799" s="22" t="s">
        <v>1077</v>
      </c>
      <c r="C799" s="20" t="s">
        <v>1496</v>
      </c>
      <c r="D799" s="209">
        <v>2433002900</v>
      </c>
      <c r="E799" s="203" t="s">
        <v>2590</v>
      </c>
      <c r="F799" s="108">
        <f t="shared" si="138"/>
        <v>501.40518999999995</v>
      </c>
      <c r="G799" s="106">
        <f t="shared" si="139"/>
        <v>275.50086999999996</v>
      </c>
      <c r="H799" s="106">
        <f t="shared" si="140"/>
        <v>225.90432</v>
      </c>
      <c r="I799" s="107"/>
      <c r="J799" s="107"/>
      <c r="K799" s="107"/>
      <c r="L799" s="107"/>
      <c r="M799" s="107"/>
      <c r="N799" s="107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7"/>
      <c r="Z799" s="107"/>
      <c r="AA799" s="159">
        <v>95.62716</v>
      </c>
      <c r="AB799" s="106">
        <v>49.51827</v>
      </c>
      <c r="AC799" s="107"/>
      <c r="AD799" s="107"/>
      <c r="AE799" s="107"/>
      <c r="AF799" s="107"/>
      <c r="AG799" s="107"/>
      <c r="AH799" s="107"/>
      <c r="AI799" s="107"/>
      <c r="AJ799" s="108">
        <v>0</v>
      </c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7"/>
      <c r="AV799" s="107"/>
      <c r="AW799" s="107"/>
      <c r="AX799" s="107"/>
      <c r="AY799" s="106"/>
      <c r="AZ799" s="107"/>
      <c r="BA799" s="107"/>
      <c r="BB799" s="107"/>
      <c r="BC799" s="107">
        <v>179.87371</v>
      </c>
      <c r="BD799" s="107">
        <v>176.38605</v>
      </c>
      <c r="BE799" s="107"/>
      <c r="BF799" s="107"/>
      <c r="BG799" s="107"/>
      <c r="BH799" s="107"/>
      <c r="BI799" s="107"/>
      <c r="BJ799" s="107"/>
      <c r="BK799" s="107"/>
      <c r="BL799" s="107"/>
      <c r="BM799" s="107"/>
      <c r="BN799" s="107"/>
      <c r="BO799" s="107"/>
      <c r="BP799" s="107"/>
      <c r="BQ799" s="109"/>
      <c r="BR799" s="109"/>
      <c r="BS799" s="109"/>
      <c r="BT799" s="109"/>
      <c r="BU799" s="138"/>
    </row>
    <row r="800" spans="1:73" ht="32.25" customHeight="1" outlineLevel="2">
      <c r="A800" s="19" t="s">
        <v>15</v>
      </c>
      <c r="B800" s="22" t="s">
        <v>96</v>
      </c>
      <c r="C800" s="20" t="s">
        <v>1496</v>
      </c>
      <c r="D800" s="209">
        <v>2433004305</v>
      </c>
      <c r="E800" s="203" t="s">
        <v>2597</v>
      </c>
      <c r="F800" s="108">
        <f t="shared" si="138"/>
        <v>293.73624</v>
      </c>
      <c r="G800" s="106">
        <f t="shared" si="139"/>
        <v>159.72478</v>
      </c>
      <c r="H800" s="106">
        <f t="shared" si="140"/>
        <v>134.01146</v>
      </c>
      <c r="I800" s="107"/>
      <c r="J800" s="107"/>
      <c r="K800" s="107"/>
      <c r="L800" s="107"/>
      <c r="M800" s="107"/>
      <c r="N800" s="107"/>
      <c r="O800" s="106"/>
      <c r="P800" s="106"/>
      <c r="Q800" s="106"/>
      <c r="R800" s="106"/>
      <c r="S800" s="106">
        <f>12.65051+0.98448</f>
        <v>13.63499</v>
      </c>
      <c r="T800" s="106">
        <f>6.32525+0.49224</f>
        <v>6.817489999999999</v>
      </c>
      <c r="U800" s="106"/>
      <c r="V800" s="106"/>
      <c r="W800" s="106"/>
      <c r="X800" s="106"/>
      <c r="Y800" s="107">
        <v>7.08535</v>
      </c>
      <c r="Z800" s="107">
        <v>23.958</v>
      </c>
      <c r="AA800" s="159">
        <v>66.04283</v>
      </c>
      <c r="AB800" s="106">
        <v>31.69169</v>
      </c>
      <c r="AC800" s="107"/>
      <c r="AD800" s="107"/>
      <c r="AE800" s="107"/>
      <c r="AF800" s="107"/>
      <c r="AG800" s="107"/>
      <c r="AH800" s="107"/>
      <c r="AI800" s="107"/>
      <c r="AJ800" s="108">
        <v>0</v>
      </c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7"/>
      <c r="AV800" s="107"/>
      <c r="AW800" s="107"/>
      <c r="AX800" s="107"/>
      <c r="AY800" s="106"/>
      <c r="AZ800" s="107"/>
      <c r="BA800" s="107"/>
      <c r="BB800" s="107"/>
      <c r="BC800" s="107">
        <v>72.96161</v>
      </c>
      <c r="BD800" s="107">
        <v>71.54428</v>
      </c>
      <c r="BE800" s="107"/>
      <c r="BF800" s="107"/>
      <c r="BG800" s="107"/>
      <c r="BH800" s="107"/>
      <c r="BI800" s="107"/>
      <c r="BJ800" s="107"/>
      <c r="BK800" s="107"/>
      <c r="BL800" s="107"/>
      <c r="BM800" s="107"/>
      <c r="BN800" s="107"/>
      <c r="BO800" s="107"/>
      <c r="BP800" s="107"/>
      <c r="BQ800" s="109"/>
      <c r="BR800" s="109"/>
      <c r="BS800" s="109"/>
      <c r="BT800" s="109"/>
      <c r="BU800" s="138"/>
    </row>
    <row r="801" spans="1:73" ht="34.5" customHeight="1" outlineLevel="2">
      <c r="A801" s="24" t="s">
        <v>15</v>
      </c>
      <c r="B801" s="19" t="s">
        <v>315</v>
      </c>
      <c r="C801" s="20" t="s">
        <v>1422</v>
      </c>
      <c r="D801" s="218" t="s">
        <v>238</v>
      </c>
      <c r="E801" s="246" t="s">
        <v>2814</v>
      </c>
      <c r="F801" s="108">
        <f t="shared" si="138"/>
        <v>15.17269</v>
      </c>
      <c r="G801" s="106">
        <f t="shared" si="139"/>
        <v>12.13815</v>
      </c>
      <c r="H801" s="106">
        <f t="shared" si="140"/>
        <v>3.03454</v>
      </c>
      <c r="I801" s="107">
        <v>12.13815</v>
      </c>
      <c r="J801" s="107">
        <v>3.03454</v>
      </c>
      <c r="K801" s="107"/>
      <c r="L801" s="107"/>
      <c r="M801" s="107"/>
      <c r="N801" s="107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7"/>
      <c r="Z801" s="107"/>
      <c r="AA801" s="106"/>
      <c r="AB801" s="106"/>
      <c r="AC801" s="107"/>
      <c r="AD801" s="107"/>
      <c r="AE801" s="107"/>
      <c r="AF801" s="107"/>
      <c r="AG801" s="107"/>
      <c r="AH801" s="107"/>
      <c r="AI801" s="107"/>
      <c r="AJ801" s="108">
        <v>0</v>
      </c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7"/>
      <c r="AV801" s="107"/>
      <c r="AW801" s="107"/>
      <c r="AX801" s="107"/>
      <c r="AY801" s="106"/>
      <c r="AZ801" s="107"/>
      <c r="BA801" s="107"/>
      <c r="BB801" s="107"/>
      <c r="BC801" s="107"/>
      <c r="BD801" s="107"/>
      <c r="BE801" s="107"/>
      <c r="BF801" s="107"/>
      <c r="BG801" s="107"/>
      <c r="BH801" s="107"/>
      <c r="BI801" s="107"/>
      <c r="BJ801" s="107"/>
      <c r="BK801" s="107"/>
      <c r="BL801" s="107"/>
      <c r="BM801" s="107"/>
      <c r="BN801" s="107"/>
      <c r="BO801" s="107"/>
      <c r="BP801" s="107"/>
      <c r="BQ801" s="109"/>
      <c r="BR801" s="109"/>
      <c r="BS801" s="109"/>
      <c r="BT801" s="109"/>
      <c r="BU801" s="138"/>
    </row>
    <row r="802" spans="1:73" ht="33" customHeight="1" outlineLevel="2">
      <c r="A802" s="24" t="s">
        <v>15</v>
      </c>
      <c r="B802" s="19" t="s">
        <v>290</v>
      </c>
      <c r="C802" s="20" t="s">
        <v>1496</v>
      </c>
      <c r="D802" s="218" t="s">
        <v>239</v>
      </c>
      <c r="E802" s="203" t="s">
        <v>2593</v>
      </c>
      <c r="F802" s="108">
        <f t="shared" si="138"/>
        <v>4377.80688</v>
      </c>
      <c r="G802" s="106">
        <f t="shared" si="139"/>
        <v>1065.89211</v>
      </c>
      <c r="H802" s="106">
        <f t="shared" si="140"/>
        <v>3311.91477</v>
      </c>
      <c r="I802" s="107"/>
      <c r="J802" s="107"/>
      <c r="K802" s="107">
        <v>425.24688</v>
      </c>
      <c r="L802" s="107">
        <v>25.54731</v>
      </c>
      <c r="M802" s="107"/>
      <c r="N802" s="107"/>
      <c r="O802" s="106"/>
      <c r="P802" s="106"/>
      <c r="Q802" s="106">
        <v>105.63022</v>
      </c>
      <c r="R802" s="106"/>
      <c r="S802" s="106"/>
      <c r="T802" s="106"/>
      <c r="U802" s="106"/>
      <c r="V802" s="106"/>
      <c r="W802" s="106"/>
      <c r="X802" s="106"/>
      <c r="Y802" s="107">
        <v>15.96</v>
      </c>
      <c r="Z802" s="107">
        <v>41.9265</v>
      </c>
      <c r="AA802" s="159">
        <v>314.93611</v>
      </c>
      <c r="AB802" s="106">
        <v>162.41993</v>
      </c>
      <c r="AC802" s="107"/>
      <c r="AD802" s="107"/>
      <c r="AE802" s="107"/>
      <c r="AF802" s="107"/>
      <c r="AG802" s="107"/>
      <c r="AH802" s="107"/>
      <c r="AI802" s="107"/>
      <c r="AJ802" s="108">
        <v>126.13288</v>
      </c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7"/>
      <c r="AV802" s="107"/>
      <c r="AW802" s="107"/>
      <c r="AX802" s="107"/>
      <c r="AY802" s="106"/>
      <c r="AZ802" s="107">
        <v>54.27</v>
      </c>
      <c r="BA802" s="107"/>
      <c r="BB802" s="107"/>
      <c r="BC802" s="107">
        <v>309.74912</v>
      </c>
      <c r="BD802" s="107">
        <v>303.75969</v>
      </c>
      <c r="BE802" s="107"/>
      <c r="BF802" s="107"/>
      <c r="BG802" s="107"/>
      <c r="BH802" s="107"/>
      <c r="BI802" s="107"/>
      <c r="BJ802" s="107">
        <v>2492.22824</v>
      </c>
      <c r="BK802" s="107"/>
      <c r="BL802" s="107"/>
      <c r="BM802" s="107"/>
      <c r="BN802" s="107"/>
      <c r="BO802" s="107"/>
      <c r="BP802" s="107"/>
      <c r="BQ802" s="109"/>
      <c r="BR802" s="109"/>
      <c r="BS802" s="109"/>
      <c r="BT802" s="109"/>
      <c r="BU802" s="138"/>
    </row>
    <row r="803" spans="1:73" ht="35.25" customHeight="1" outlineLevel="2">
      <c r="A803" s="24" t="s">
        <v>15</v>
      </c>
      <c r="B803" s="19" t="s">
        <v>291</v>
      </c>
      <c r="C803" s="20" t="s">
        <v>1496</v>
      </c>
      <c r="D803" s="218" t="s">
        <v>410</v>
      </c>
      <c r="E803" s="203" t="s">
        <v>2594</v>
      </c>
      <c r="F803" s="108">
        <f t="shared" si="138"/>
        <v>10237.863140000001</v>
      </c>
      <c r="G803" s="106">
        <f t="shared" si="139"/>
        <v>2288.33401</v>
      </c>
      <c r="H803" s="106">
        <f t="shared" si="140"/>
        <v>7949.529130000002</v>
      </c>
      <c r="I803" s="107"/>
      <c r="J803" s="107"/>
      <c r="K803" s="107"/>
      <c r="L803" s="107"/>
      <c r="M803" s="107"/>
      <c r="N803" s="107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7">
        <v>106.4</v>
      </c>
      <c r="Z803" s="107">
        <v>279.51</v>
      </c>
      <c r="AA803" s="159">
        <v>950.15657</v>
      </c>
      <c r="AB803" s="106">
        <v>346.03369</v>
      </c>
      <c r="AC803" s="107"/>
      <c r="AD803" s="107"/>
      <c r="AE803" s="107"/>
      <c r="AF803" s="107"/>
      <c r="AG803" s="107"/>
      <c r="AH803" s="107"/>
      <c r="AI803" s="107"/>
      <c r="AJ803" s="108">
        <v>464.37804000000006</v>
      </c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7"/>
      <c r="AV803" s="107"/>
      <c r="AW803" s="107"/>
      <c r="AX803" s="107">
        <v>129.53258</v>
      </c>
      <c r="AY803" s="106">
        <v>45.43683</v>
      </c>
      <c r="AZ803" s="107"/>
      <c r="BA803" s="107">
        <f>1508.30438+4224.95682</f>
        <v>5733.261200000001</v>
      </c>
      <c r="BB803" s="107"/>
      <c r="BC803" s="107">
        <v>1102.24486</v>
      </c>
      <c r="BD803" s="107">
        <v>1080.90937</v>
      </c>
      <c r="BE803" s="107"/>
      <c r="BF803" s="107"/>
      <c r="BG803" s="107"/>
      <c r="BH803" s="107"/>
      <c r="BI803" s="107"/>
      <c r="BJ803" s="107"/>
      <c r="BK803" s="107"/>
      <c r="BL803" s="107"/>
      <c r="BM803" s="107"/>
      <c r="BN803" s="107"/>
      <c r="BO803" s="107"/>
      <c r="BP803" s="107"/>
      <c r="BQ803" s="109"/>
      <c r="BR803" s="109"/>
      <c r="BS803" s="109"/>
      <c r="BT803" s="109"/>
      <c r="BU803" s="138"/>
    </row>
    <row r="804" spans="1:73" ht="33" customHeight="1" outlineLevel="2">
      <c r="A804" s="24" t="s">
        <v>15</v>
      </c>
      <c r="B804" s="19" t="s">
        <v>467</v>
      </c>
      <c r="C804" s="20" t="s">
        <v>1496</v>
      </c>
      <c r="D804" s="218" t="s">
        <v>580</v>
      </c>
      <c r="E804" s="271" t="s">
        <v>2589</v>
      </c>
      <c r="F804" s="108">
        <f t="shared" si="138"/>
        <v>2741.42904</v>
      </c>
      <c r="G804" s="106">
        <f t="shared" si="139"/>
        <v>1326.70274</v>
      </c>
      <c r="H804" s="106">
        <f t="shared" si="140"/>
        <v>1414.7262999999998</v>
      </c>
      <c r="I804" s="107">
        <v>63.20414</v>
      </c>
      <c r="J804" s="107">
        <v>15.80102</v>
      </c>
      <c r="K804" s="107">
        <v>259.72078</v>
      </c>
      <c r="L804" s="107"/>
      <c r="M804" s="107"/>
      <c r="N804" s="107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7">
        <v>27.36</v>
      </c>
      <c r="Z804" s="107">
        <v>39.93</v>
      </c>
      <c r="AA804" s="159">
        <v>105.17638</v>
      </c>
      <c r="AB804" s="106">
        <v>79.22924</v>
      </c>
      <c r="AC804" s="107"/>
      <c r="AD804" s="107"/>
      <c r="AE804" s="107"/>
      <c r="AF804" s="107"/>
      <c r="AG804" s="107">
        <v>37.5876</v>
      </c>
      <c r="AH804" s="107"/>
      <c r="AI804" s="107"/>
      <c r="AJ804" s="108">
        <v>80.449</v>
      </c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7"/>
      <c r="AV804" s="107"/>
      <c r="AW804" s="107"/>
      <c r="AX804" s="107">
        <v>393.58122</v>
      </c>
      <c r="AY804" s="106">
        <v>543.60634</v>
      </c>
      <c r="AZ804" s="107"/>
      <c r="BA804" s="107"/>
      <c r="BB804" s="107"/>
      <c r="BC804" s="107">
        <v>477.66022</v>
      </c>
      <c r="BD804" s="107">
        <v>468.4351</v>
      </c>
      <c r="BE804" s="107"/>
      <c r="BF804" s="107"/>
      <c r="BG804" s="107"/>
      <c r="BH804" s="107"/>
      <c r="BI804" s="107"/>
      <c r="BJ804" s="107"/>
      <c r="BK804" s="107"/>
      <c r="BL804" s="107"/>
      <c r="BM804" s="107">
        <v>149.688</v>
      </c>
      <c r="BN804" s="107"/>
      <c r="BO804" s="107"/>
      <c r="BP804" s="107"/>
      <c r="BQ804" s="109"/>
      <c r="BR804" s="109"/>
      <c r="BS804" s="109"/>
      <c r="BT804" s="109"/>
      <c r="BU804" s="138"/>
    </row>
    <row r="805" spans="1:73" ht="40.5" customHeight="1" outlineLevel="2">
      <c r="A805" s="35" t="s">
        <v>15</v>
      </c>
      <c r="B805" s="37" t="s">
        <v>817</v>
      </c>
      <c r="C805" s="20" t="s">
        <v>1496</v>
      </c>
      <c r="D805" s="218" t="s">
        <v>534</v>
      </c>
      <c r="E805" s="203" t="s">
        <v>2598</v>
      </c>
      <c r="F805" s="108">
        <f t="shared" si="138"/>
        <v>719.05746</v>
      </c>
      <c r="G805" s="106">
        <f t="shared" si="139"/>
        <v>472.58162000000004</v>
      </c>
      <c r="H805" s="106">
        <f t="shared" si="140"/>
        <v>246.47584</v>
      </c>
      <c r="I805" s="107"/>
      <c r="J805" s="107"/>
      <c r="K805" s="107">
        <v>175.32268</v>
      </c>
      <c r="L805" s="107">
        <v>0.59604</v>
      </c>
      <c r="M805" s="107"/>
      <c r="N805" s="107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7"/>
      <c r="Z805" s="107"/>
      <c r="AA805" s="159">
        <v>132.16885</v>
      </c>
      <c r="AB805" s="106">
        <v>83.98299</v>
      </c>
      <c r="AC805" s="107"/>
      <c r="AD805" s="107"/>
      <c r="AE805" s="107"/>
      <c r="AF805" s="107"/>
      <c r="AG805" s="107"/>
      <c r="AH805" s="107"/>
      <c r="AI805" s="107"/>
      <c r="AJ805" s="108">
        <v>0</v>
      </c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7"/>
      <c r="AV805" s="107"/>
      <c r="AW805" s="107"/>
      <c r="AX805" s="107"/>
      <c r="AY805" s="106"/>
      <c r="AZ805" s="107"/>
      <c r="BA805" s="107"/>
      <c r="BB805" s="107"/>
      <c r="BC805" s="107">
        <v>165.09009</v>
      </c>
      <c r="BD805" s="107">
        <v>161.89681</v>
      </c>
      <c r="BE805" s="107"/>
      <c r="BF805" s="107"/>
      <c r="BG805" s="107"/>
      <c r="BH805" s="107"/>
      <c r="BI805" s="107"/>
      <c r="BJ805" s="107"/>
      <c r="BK805" s="107"/>
      <c r="BL805" s="107"/>
      <c r="BM805" s="107"/>
      <c r="BN805" s="107"/>
      <c r="BO805" s="107"/>
      <c r="BP805" s="107"/>
      <c r="BQ805" s="109"/>
      <c r="BR805" s="109"/>
      <c r="BS805" s="109"/>
      <c r="BT805" s="109"/>
      <c r="BU805" s="138"/>
    </row>
    <row r="806" spans="1:73" ht="37.5" customHeight="1" outlineLevel="2">
      <c r="A806" s="35" t="s">
        <v>15</v>
      </c>
      <c r="B806" s="37" t="s">
        <v>1450</v>
      </c>
      <c r="C806" s="20" t="s">
        <v>1496</v>
      </c>
      <c r="D806" s="218" t="s">
        <v>1392</v>
      </c>
      <c r="E806" s="203" t="s">
        <v>2587</v>
      </c>
      <c r="F806" s="108">
        <f t="shared" si="138"/>
        <v>1462.66001</v>
      </c>
      <c r="G806" s="106">
        <f t="shared" si="139"/>
        <v>645.45509</v>
      </c>
      <c r="H806" s="106">
        <f t="shared" si="140"/>
        <v>817.2049199999999</v>
      </c>
      <c r="I806" s="107"/>
      <c r="J806" s="107"/>
      <c r="K806" s="107"/>
      <c r="L806" s="107"/>
      <c r="M806" s="107"/>
      <c r="N806" s="107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7">
        <v>25.84</v>
      </c>
      <c r="Z806" s="107">
        <v>67.881</v>
      </c>
      <c r="AA806" s="159">
        <v>119.0014</v>
      </c>
      <c r="AB806" s="106">
        <v>65.95834</v>
      </c>
      <c r="AC806" s="107"/>
      <c r="AD806" s="107"/>
      <c r="AE806" s="107"/>
      <c r="AF806" s="107"/>
      <c r="AG806" s="107"/>
      <c r="AH806" s="107"/>
      <c r="AI806" s="107"/>
      <c r="AJ806" s="108">
        <v>192.42564</v>
      </c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7"/>
      <c r="AV806" s="107"/>
      <c r="AW806" s="107"/>
      <c r="AX806" s="107"/>
      <c r="AY806" s="106"/>
      <c r="AZ806" s="107"/>
      <c r="BA806" s="107"/>
      <c r="BB806" s="107"/>
      <c r="BC806" s="107">
        <v>500.61369</v>
      </c>
      <c r="BD806" s="107">
        <v>490.93994</v>
      </c>
      <c r="BE806" s="107"/>
      <c r="BF806" s="107"/>
      <c r="BG806" s="107"/>
      <c r="BH806" s="107"/>
      <c r="BI806" s="107"/>
      <c r="BJ806" s="107"/>
      <c r="BK806" s="107"/>
      <c r="BL806" s="107"/>
      <c r="BM806" s="107"/>
      <c r="BN806" s="107"/>
      <c r="BO806" s="107"/>
      <c r="BP806" s="107"/>
      <c r="BQ806" s="109"/>
      <c r="BR806" s="109"/>
      <c r="BS806" s="109"/>
      <c r="BT806" s="109"/>
      <c r="BU806" s="138"/>
    </row>
    <row r="807" spans="1:73" ht="39.75" customHeight="1" outlineLevel="2">
      <c r="A807" s="19" t="s">
        <v>15</v>
      </c>
      <c r="B807" s="19" t="s">
        <v>355</v>
      </c>
      <c r="C807" s="53" t="s">
        <v>587</v>
      </c>
      <c r="D807" s="218" t="s">
        <v>2600</v>
      </c>
      <c r="E807" s="220" t="s">
        <v>2599</v>
      </c>
      <c r="F807" s="108">
        <f t="shared" si="138"/>
        <v>281.0808</v>
      </c>
      <c r="G807" s="106">
        <f t="shared" si="139"/>
        <v>0</v>
      </c>
      <c r="H807" s="106">
        <f t="shared" si="140"/>
        <v>281.0808</v>
      </c>
      <c r="I807" s="107"/>
      <c r="J807" s="107"/>
      <c r="K807" s="107"/>
      <c r="L807" s="107"/>
      <c r="M807" s="107"/>
      <c r="N807" s="107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7"/>
      <c r="Z807" s="107"/>
      <c r="AA807" s="159"/>
      <c r="AB807" s="106"/>
      <c r="AC807" s="107"/>
      <c r="AD807" s="107"/>
      <c r="AE807" s="107"/>
      <c r="AF807" s="107"/>
      <c r="AG807" s="107"/>
      <c r="AH807" s="107"/>
      <c r="AI807" s="107"/>
      <c r="AJ807" s="108">
        <v>0</v>
      </c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7"/>
      <c r="AV807" s="107"/>
      <c r="AW807" s="107"/>
      <c r="AX807" s="107"/>
      <c r="AY807" s="106"/>
      <c r="AZ807" s="107"/>
      <c r="BA807" s="107"/>
      <c r="BB807" s="107"/>
      <c r="BC807" s="107"/>
      <c r="BD807" s="107"/>
      <c r="BE807" s="107"/>
      <c r="BF807" s="107"/>
      <c r="BG807" s="107"/>
      <c r="BH807" s="107"/>
      <c r="BI807" s="107"/>
      <c r="BJ807" s="107"/>
      <c r="BK807" s="107"/>
      <c r="BL807" s="107"/>
      <c r="BM807" s="107">
        <v>281.0808</v>
      </c>
      <c r="BN807" s="107"/>
      <c r="BO807" s="107"/>
      <c r="BP807" s="107"/>
      <c r="BQ807" s="109"/>
      <c r="BR807" s="109"/>
      <c r="BS807" s="109"/>
      <c r="BT807" s="109"/>
      <c r="BU807" s="138"/>
    </row>
    <row r="808" spans="1:73" ht="39.75" customHeight="1" outlineLevel="2">
      <c r="A808" s="19" t="s">
        <v>15</v>
      </c>
      <c r="B808" s="19" t="s">
        <v>389</v>
      </c>
      <c r="C808" s="53" t="s">
        <v>587</v>
      </c>
      <c r="D808" s="218" t="s">
        <v>1579</v>
      </c>
      <c r="E808" s="220" t="s">
        <v>2601</v>
      </c>
      <c r="F808" s="108">
        <f t="shared" si="138"/>
        <v>401.06776</v>
      </c>
      <c r="G808" s="106">
        <f t="shared" si="139"/>
        <v>8.00227</v>
      </c>
      <c r="H808" s="106">
        <f t="shared" si="140"/>
        <v>393.06549</v>
      </c>
      <c r="I808" s="107"/>
      <c r="J808" s="107"/>
      <c r="K808" s="107"/>
      <c r="L808" s="107"/>
      <c r="M808" s="107">
        <v>336.28641</v>
      </c>
      <c r="N808" s="107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7"/>
      <c r="Z808" s="107"/>
      <c r="AA808" s="159"/>
      <c r="AB808" s="106"/>
      <c r="AC808" s="107"/>
      <c r="AD808" s="107"/>
      <c r="AE808" s="107"/>
      <c r="AF808" s="107"/>
      <c r="AG808" s="107"/>
      <c r="AH808" s="107"/>
      <c r="AI808" s="107"/>
      <c r="AJ808" s="108">
        <v>48.93252</v>
      </c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7"/>
      <c r="AV808" s="107"/>
      <c r="AW808" s="107"/>
      <c r="AX808" s="107"/>
      <c r="AY808" s="106"/>
      <c r="AZ808" s="107"/>
      <c r="BA808" s="107"/>
      <c r="BB808" s="107"/>
      <c r="BC808" s="107">
        <v>8.00227</v>
      </c>
      <c r="BD808" s="107">
        <v>7.84656</v>
      </c>
      <c r="BE808" s="107"/>
      <c r="BF808" s="107"/>
      <c r="BG808" s="107"/>
      <c r="BH808" s="107"/>
      <c r="BI808" s="107"/>
      <c r="BJ808" s="107"/>
      <c r="BK808" s="107"/>
      <c r="BL808" s="107"/>
      <c r="BM808" s="107"/>
      <c r="BN808" s="107"/>
      <c r="BO808" s="107"/>
      <c r="BP808" s="107"/>
      <c r="BQ808" s="109"/>
      <c r="BR808" s="109"/>
      <c r="BS808" s="109"/>
      <c r="BT808" s="109"/>
      <c r="BU808" s="138"/>
    </row>
    <row r="809" spans="1:73" ht="39.75" customHeight="1" outlineLevel="2">
      <c r="A809" s="24" t="s">
        <v>15</v>
      </c>
      <c r="B809" s="19" t="s">
        <v>95</v>
      </c>
      <c r="C809" s="53" t="s">
        <v>587</v>
      </c>
      <c r="D809" s="218" t="s">
        <v>1333</v>
      </c>
      <c r="E809" s="220" t="s">
        <v>2602</v>
      </c>
      <c r="F809" s="108">
        <f t="shared" si="138"/>
        <v>3924.79497</v>
      </c>
      <c r="G809" s="106">
        <f t="shared" si="139"/>
        <v>869.7837300000001</v>
      </c>
      <c r="H809" s="106">
        <f t="shared" si="140"/>
        <v>3055.01124</v>
      </c>
      <c r="I809" s="107"/>
      <c r="J809" s="107"/>
      <c r="K809" s="107"/>
      <c r="L809" s="107"/>
      <c r="M809" s="107"/>
      <c r="N809" s="107"/>
      <c r="O809" s="106">
        <f>243.77005</f>
        <v>243.77005</v>
      </c>
      <c r="P809" s="106">
        <f>115.58776</f>
        <v>115.58776</v>
      </c>
      <c r="Q809" s="106"/>
      <c r="R809" s="106"/>
      <c r="S809" s="106"/>
      <c r="T809" s="106"/>
      <c r="U809" s="106"/>
      <c r="V809" s="106"/>
      <c r="W809" s="106"/>
      <c r="X809" s="106"/>
      <c r="Y809" s="107">
        <v>8.41783</v>
      </c>
      <c r="Z809" s="107">
        <v>39.93</v>
      </c>
      <c r="AA809" s="159">
        <v>196.20079</v>
      </c>
      <c r="AB809" s="106">
        <v>101.01728</v>
      </c>
      <c r="AC809" s="107"/>
      <c r="AD809" s="107"/>
      <c r="AE809" s="107"/>
      <c r="AF809" s="107"/>
      <c r="AG809" s="107"/>
      <c r="AH809" s="107"/>
      <c r="AI809" s="107"/>
      <c r="AJ809" s="108">
        <v>0</v>
      </c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7"/>
      <c r="AV809" s="107"/>
      <c r="AW809" s="107"/>
      <c r="AX809" s="107"/>
      <c r="AY809" s="106"/>
      <c r="AZ809" s="107">
        <v>36</v>
      </c>
      <c r="BA809" s="107"/>
      <c r="BB809" s="107"/>
      <c r="BC809" s="107">
        <v>421.39506</v>
      </c>
      <c r="BD809" s="107">
        <v>413.23696</v>
      </c>
      <c r="BE809" s="107"/>
      <c r="BF809" s="107"/>
      <c r="BG809" s="107"/>
      <c r="BH809" s="107"/>
      <c r="BI809" s="107"/>
      <c r="BJ809" s="107">
        <v>2349.23924</v>
      </c>
      <c r="BK809" s="107"/>
      <c r="BL809" s="107"/>
      <c r="BM809" s="107"/>
      <c r="BN809" s="107"/>
      <c r="BO809" s="107"/>
      <c r="BP809" s="107"/>
      <c r="BQ809" s="109"/>
      <c r="BR809" s="109"/>
      <c r="BS809" s="109"/>
      <c r="BT809" s="109"/>
      <c r="BU809" s="138"/>
    </row>
    <row r="810" spans="1:73" ht="39.75" customHeight="1" outlineLevel="2">
      <c r="A810" s="19" t="s">
        <v>15</v>
      </c>
      <c r="B810" s="19" t="s">
        <v>1772</v>
      </c>
      <c r="C810" s="53" t="s">
        <v>587</v>
      </c>
      <c r="D810" s="272">
        <v>2440027278594</v>
      </c>
      <c r="E810" s="273" t="s">
        <v>2603</v>
      </c>
      <c r="F810" s="108">
        <f t="shared" si="138"/>
        <v>1500</v>
      </c>
      <c r="G810" s="106">
        <f t="shared" si="139"/>
        <v>1500</v>
      </c>
      <c r="H810" s="106">
        <f t="shared" si="140"/>
        <v>0</v>
      </c>
      <c r="I810" s="107"/>
      <c r="J810" s="107"/>
      <c r="K810" s="107"/>
      <c r="L810" s="107"/>
      <c r="M810" s="107"/>
      <c r="N810" s="107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7"/>
      <c r="Z810" s="107"/>
      <c r="AA810" s="159"/>
      <c r="AB810" s="106"/>
      <c r="AC810" s="107"/>
      <c r="AD810" s="107"/>
      <c r="AE810" s="107"/>
      <c r="AF810" s="107"/>
      <c r="AG810" s="107"/>
      <c r="AH810" s="107"/>
      <c r="AI810" s="107"/>
      <c r="AJ810" s="108">
        <v>0</v>
      </c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7"/>
      <c r="AV810" s="107"/>
      <c r="AW810" s="107"/>
      <c r="AX810" s="107"/>
      <c r="AY810" s="106"/>
      <c r="AZ810" s="107"/>
      <c r="BA810" s="107"/>
      <c r="BB810" s="107"/>
      <c r="BC810" s="107"/>
      <c r="BD810" s="107"/>
      <c r="BE810" s="107"/>
      <c r="BF810" s="107"/>
      <c r="BG810" s="107"/>
      <c r="BH810" s="107"/>
      <c r="BI810" s="107"/>
      <c r="BJ810" s="107"/>
      <c r="BK810" s="107"/>
      <c r="BL810" s="107"/>
      <c r="BM810" s="107"/>
      <c r="BN810" s="107"/>
      <c r="BO810" s="107"/>
      <c r="BP810" s="107"/>
      <c r="BQ810" s="109"/>
      <c r="BR810" s="109">
        <v>1500</v>
      </c>
      <c r="BS810" s="109"/>
      <c r="BT810" s="109"/>
      <c r="BU810" s="138"/>
    </row>
    <row r="811" spans="1:73" ht="39.75" customHeight="1" outlineLevel="2">
      <c r="A811" s="19" t="s">
        <v>15</v>
      </c>
      <c r="B811" s="19" t="s">
        <v>98</v>
      </c>
      <c r="C811" s="53" t="s">
        <v>710</v>
      </c>
      <c r="D811" s="272">
        <v>240402614185</v>
      </c>
      <c r="E811" s="273" t="s">
        <v>2604</v>
      </c>
      <c r="F811" s="108">
        <f t="shared" si="138"/>
        <v>266.43287999999995</v>
      </c>
      <c r="G811" s="106">
        <f t="shared" si="139"/>
        <v>124.95163</v>
      </c>
      <c r="H811" s="106">
        <f t="shared" si="140"/>
        <v>141.48125</v>
      </c>
      <c r="I811" s="107"/>
      <c r="J811" s="107"/>
      <c r="K811" s="107"/>
      <c r="L811" s="107"/>
      <c r="M811" s="107"/>
      <c r="N811" s="107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7"/>
      <c r="Z811" s="107"/>
      <c r="AA811" s="159">
        <v>56.86282</v>
      </c>
      <c r="AB811" s="106">
        <v>29.71096</v>
      </c>
      <c r="AC811" s="107"/>
      <c r="AD811" s="107"/>
      <c r="AE811" s="107"/>
      <c r="AF811" s="107"/>
      <c r="AG811" s="107"/>
      <c r="AH811" s="107"/>
      <c r="AI811" s="107"/>
      <c r="AJ811" s="108">
        <v>0</v>
      </c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7"/>
      <c r="AV811" s="107"/>
      <c r="AW811" s="107"/>
      <c r="AX811" s="107"/>
      <c r="AY811" s="106"/>
      <c r="AZ811" s="107">
        <v>45</v>
      </c>
      <c r="BA811" s="107"/>
      <c r="BB811" s="107"/>
      <c r="BC811" s="107">
        <v>68.08881</v>
      </c>
      <c r="BD811" s="107">
        <v>66.77029</v>
      </c>
      <c r="BE811" s="107"/>
      <c r="BF811" s="107"/>
      <c r="BG811" s="107"/>
      <c r="BH811" s="107"/>
      <c r="BI811" s="107"/>
      <c r="BJ811" s="107"/>
      <c r="BK811" s="107"/>
      <c r="BL811" s="107"/>
      <c r="BM811" s="107"/>
      <c r="BN811" s="107"/>
      <c r="BO811" s="107"/>
      <c r="BP811" s="107"/>
      <c r="BQ811" s="109"/>
      <c r="BR811" s="109"/>
      <c r="BS811" s="109"/>
      <c r="BT811" s="109"/>
      <c r="BU811" s="138"/>
    </row>
    <row r="812" spans="1:73" ht="36.75" customHeight="1" outlineLevel="2">
      <c r="A812" s="3" t="s">
        <v>15</v>
      </c>
      <c r="B812" s="3" t="s">
        <v>1393</v>
      </c>
      <c r="C812" s="52" t="s">
        <v>710</v>
      </c>
      <c r="D812" s="230" t="s">
        <v>1215</v>
      </c>
      <c r="E812" s="233" t="s">
        <v>2605</v>
      </c>
      <c r="F812" s="108">
        <f t="shared" si="138"/>
        <v>1935.89063</v>
      </c>
      <c r="G812" s="106">
        <f t="shared" si="139"/>
        <v>253.13337</v>
      </c>
      <c r="H812" s="106">
        <f t="shared" si="140"/>
        <v>1682.75726</v>
      </c>
      <c r="I812" s="119"/>
      <c r="J812" s="119"/>
      <c r="K812" s="119"/>
      <c r="L812" s="119"/>
      <c r="M812" s="119"/>
      <c r="N812" s="119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19">
        <v>53.2</v>
      </c>
      <c r="Z812" s="119">
        <v>139.755</v>
      </c>
      <c r="AA812" s="163">
        <v>43.86649</v>
      </c>
      <c r="AB812" s="120">
        <v>19.80731</v>
      </c>
      <c r="AC812" s="119"/>
      <c r="AD812" s="119"/>
      <c r="AE812" s="119"/>
      <c r="AF812" s="119"/>
      <c r="AG812" s="119"/>
      <c r="AH812" s="119"/>
      <c r="AI812" s="119"/>
      <c r="AJ812" s="108">
        <v>0</v>
      </c>
      <c r="AK812" s="119"/>
      <c r="AL812" s="119"/>
      <c r="AM812" s="119"/>
      <c r="AN812" s="119"/>
      <c r="AO812" s="119"/>
      <c r="AP812" s="119"/>
      <c r="AQ812" s="119"/>
      <c r="AR812" s="119"/>
      <c r="AS812" s="119"/>
      <c r="AT812" s="119"/>
      <c r="AU812" s="119"/>
      <c r="AV812" s="119"/>
      <c r="AW812" s="119"/>
      <c r="AX812" s="119"/>
      <c r="AY812" s="120"/>
      <c r="AZ812" s="119"/>
      <c r="BA812" s="119">
        <f>823.9443+546.1988</f>
        <v>1370.1431</v>
      </c>
      <c r="BB812" s="119"/>
      <c r="BC812" s="119">
        <v>156.06688</v>
      </c>
      <c r="BD812" s="119">
        <v>153.05185</v>
      </c>
      <c r="BE812" s="119"/>
      <c r="BF812" s="119"/>
      <c r="BG812" s="119"/>
      <c r="BH812" s="119"/>
      <c r="BI812" s="119"/>
      <c r="BJ812" s="119"/>
      <c r="BK812" s="119"/>
      <c r="BL812" s="119"/>
      <c r="BM812" s="119"/>
      <c r="BN812" s="119"/>
      <c r="BO812" s="119"/>
      <c r="BP812" s="119"/>
      <c r="BQ812" s="121"/>
      <c r="BR812" s="121"/>
      <c r="BS812" s="121"/>
      <c r="BT812" s="121"/>
      <c r="BU812" s="140"/>
    </row>
    <row r="813" spans="1:73" ht="39.75" customHeight="1" outlineLevel="2">
      <c r="A813" s="19" t="s">
        <v>15</v>
      </c>
      <c r="B813" s="19" t="s">
        <v>97</v>
      </c>
      <c r="C813" s="53" t="s">
        <v>710</v>
      </c>
      <c r="D813" s="272">
        <v>243300233411</v>
      </c>
      <c r="E813" s="273" t="s">
        <v>2606</v>
      </c>
      <c r="F813" s="108">
        <f t="shared" si="138"/>
        <v>26.13458</v>
      </c>
      <c r="G813" s="106">
        <f t="shared" si="139"/>
        <v>13.1951</v>
      </c>
      <c r="H813" s="106">
        <f t="shared" si="140"/>
        <v>12.93948</v>
      </c>
      <c r="I813" s="107"/>
      <c r="J813" s="107"/>
      <c r="K813" s="107"/>
      <c r="L813" s="107"/>
      <c r="M813" s="107"/>
      <c r="N813" s="107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7"/>
      <c r="Z813" s="107"/>
      <c r="AA813" s="159"/>
      <c r="AB813" s="106"/>
      <c r="AC813" s="107"/>
      <c r="AD813" s="107"/>
      <c r="AE813" s="107"/>
      <c r="AF813" s="107"/>
      <c r="AG813" s="107"/>
      <c r="AH813" s="107"/>
      <c r="AI813" s="107"/>
      <c r="AJ813" s="108">
        <v>0</v>
      </c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7"/>
      <c r="AV813" s="107"/>
      <c r="AW813" s="107"/>
      <c r="AX813" s="107"/>
      <c r="AY813" s="106"/>
      <c r="AZ813" s="107"/>
      <c r="BA813" s="107"/>
      <c r="BB813" s="107"/>
      <c r="BC813" s="107">
        <v>13.1951</v>
      </c>
      <c r="BD813" s="107">
        <v>12.93948</v>
      </c>
      <c r="BE813" s="107"/>
      <c r="BF813" s="107"/>
      <c r="BG813" s="107"/>
      <c r="BH813" s="107"/>
      <c r="BI813" s="107"/>
      <c r="BJ813" s="107"/>
      <c r="BK813" s="107"/>
      <c r="BL813" s="107"/>
      <c r="BM813" s="107"/>
      <c r="BN813" s="107"/>
      <c r="BO813" s="107"/>
      <c r="BP813" s="107"/>
      <c r="BQ813" s="109"/>
      <c r="BR813" s="109"/>
      <c r="BS813" s="109"/>
      <c r="BT813" s="109"/>
      <c r="BU813" s="138"/>
    </row>
    <row r="814" spans="1:73" ht="34.5" customHeight="1" outlineLevel="2">
      <c r="A814" s="24" t="s">
        <v>15</v>
      </c>
      <c r="B814" s="19" t="s">
        <v>245</v>
      </c>
      <c r="C814" s="20" t="s">
        <v>934</v>
      </c>
      <c r="D814" s="218" t="s">
        <v>2806</v>
      </c>
      <c r="E814" s="203" t="s">
        <v>2607</v>
      </c>
      <c r="F814" s="108">
        <f t="shared" si="138"/>
        <v>461.94532000000004</v>
      </c>
      <c r="G814" s="106">
        <f t="shared" si="139"/>
        <v>0</v>
      </c>
      <c r="H814" s="106">
        <f t="shared" si="140"/>
        <v>461.94532000000004</v>
      </c>
      <c r="I814" s="107"/>
      <c r="J814" s="107"/>
      <c r="K814" s="107"/>
      <c r="L814" s="107"/>
      <c r="M814" s="107"/>
      <c r="N814" s="107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7"/>
      <c r="Z814" s="107"/>
      <c r="AA814" s="106"/>
      <c r="AB814" s="106"/>
      <c r="AC814" s="107"/>
      <c r="AD814" s="107"/>
      <c r="AE814" s="107"/>
      <c r="AF814" s="107"/>
      <c r="AG814" s="107"/>
      <c r="AH814" s="107"/>
      <c r="AI814" s="107"/>
      <c r="AJ814" s="108">
        <v>0</v>
      </c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7"/>
      <c r="AV814" s="107"/>
      <c r="AW814" s="107"/>
      <c r="AX814" s="107"/>
      <c r="AY814" s="106"/>
      <c r="AZ814" s="107"/>
      <c r="BA814" s="107"/>
      <c r="BB814" s="107"/>
      <c r="BC814" s="107"/>
      <c r="BD814" s="107"/>
      <c r="BE814" s="107"/>
      <c r="BF814" s="107"/>
      <c r="BG814" s="107"/>
      <c r="BH814" s="107"/>
      <c r="BI814" s="107"/>
      <c r="BJ814" s="107">
        <v>94.37812</v>
      </c>
      <c r="BK814" s="107"/>
      <c r="BL814" s="107"/>
      <c r="BM814" s="107">
        <v>367.5672</v>
      </c>
      <c r="BN814" s="107"/>
      <c r="BO814" s="107"/>
      <c r="BP814" s="107"/>
      <c r="BQ814" s="109"/>
      <c r="BR814" s="109"/>
      <c r="BS814" s="109"/>
      <c r="BT814" s="109"/>
      <c r="BU814" s="138"/>
    </row>
    <row r="815" spans="1:73" ht="32.25" customHeight="1" outlineLevel="2">
      <c r="A815" s="24" t="s">
        <v>15</v>
      </c>
      <c r="B815" s="19" t="s">
        <v>698</v>
      </c>
      <c r="C815" s="20" t="s">
        <v>934</v>
      </c>
      <c r="D815" s="218" t="s">
        <v>685</v>
      </c>
      <c r="E815" s="203" t="s">
        <v>2608</v>
      </c>
      <c r="F815" s="108">
        <f t="shared" si="138"/>
        <v>24.42589</v>
      </c>
      <c r="G815" s="106">
        <f t="shared" si="139"/>
        <v>23.20459</v>
      </c>
      <c r="H815" s="106">
        <f t="shared" si="140"/>
        <v>1.2213</v>
      </c>
      <c r="I815" s="107"/>
      <c r="J815" s="107"/>
      <c r="K815" s="107"/>
      <c r="L815" s="107"/>
      <c r="M815" s="107"/>
      <c r="N815" s="107"/>
      <c r="O815" s="106">
        <v>23.20459</v>
      </c>
      <c r="P815" s="106">
        <v>1.2213</v>
      </c>
      <c r="Q815" s="106"/>
      <c r="R815" s="106"/>
      <c r="S815" s="106"/>
      <c r="T815" s="106"/>
      <c r="U815" s="106"/>
      <c r="V815" s="106"/>
      <c r="W815" s="106"/>
      <c r="X815" s="106"/>
      <c r="Y815" s="107"/>
      <c r="Z815" s="107"/>
      <c r="AA815" s="106"/>
      <c r="AB815" s="106"/>
      <c r="AC815" s="107"/>
      <c r="AD815" s="107"/>
      <c r="AE815" s="107"/>
      <c r="AF815" s="107"/>
      <c r="AG815" s="107"/>
      <c r="AH815" s="107"/>
      <c r="AI815" s="107"/>
      <c r="AJ815" s="108">
        <v>0</v>
      </c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7"/>
      <c r="AV815" s="107"/>
      <c r="AW815" s="107"/>
      <c r="AX815" s="107"/>
      <c r="AY815" s="106"/>
      <c r="AZ815" s="107"/>
      <c r="BA815" s="107"/>
      <c r="BB815" s="107"/>
      <c r="BC815" s="107"/>
      <c r="BD815" s="107"/>
      <c r="BE815" s="107"/>
      <c r="BF815" s="107"/>
      <c r="BG815" s="107"/>
      <c r="BH815" s="107"/>
      <c r="BI815" s="107"/>
      <c r="BJ815" s="107"/>
      <c r="BK815" s="107"/>
      <c r="BL815" s="107"/>
      <c r="BM815" s="107"/>
      <c r="BN815" s="107"/>
      <c r="BO815" s="107"/>
      <c r="BP815" s="107"/>
      <c r="BQ815" s="109"/>
      <c r="BR815" s="109"/>
      <c r="BS815" s="109"/>
      <c r="BT815" s="109"/>
      <c r="BU815" s="138"/>
    </row>
    <row r="816" spans="1:73" ht="36.75" customHeight="1" outlineLevel="2">
      <c r="A816" s="35" t="s">
        <v>15</v>
      </c>
      <c r="B816" s="37" t="s">
        <v>1155</v>
      </c>
      <c r="C816" s="20" t="s">
        <v>934</v>
      </c>
      <c r="D816" s="218" t="s">
        <v>1595</v>
      </c>
      <c r="E816" s="203" t="s">
        <v>2609</v>
      </c>
      <c r="F816" s="108">
        <f t="shared" si="138"/>
        <v>402.85248</v>
      </c>
      <c r="G816" s="106">
        <f t="shared" si="139"/>
        <v>0</v>
      </c>
      <c r="H816" s="106">
        <f t="shared" si="140"/>
        <v>402.85248</v>
      </c>
      <c r="I816" s="107"/>
      <c r="J816" s="107"/>
      <c r="K816" s="107"/>
      <c r="L816" s="107"/>
      <c r="M816" s="107"/>
      <c r="N816" s="107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7"/>
      <c r="Z816" s="107"/>
      <c r="AA816" s="106"/>
      <c r="AB816" s="106"/>
      <c r="AC816" s="107"/>
      <c r="AD816" s="107"/>
      <c r="AE816" s="107"/>
      <c r="AF816" s="107"/>
      <c r="AG816" s="107"/>
      <c r="AH816" s="107"/>
      <c r="AI816" s="107"/>
      <c r="AJ816" s="108">
        <v>0</v>
      </c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7"/>
      <c r="AV816" s="107"/>
      <c r="AW816" s="107"/>
      <c r="AX816" s="107"/>
      <c r="AY816" s="106"/>
      <c r="AZ816" s="107"/>
      <c r="BA816" s="107">
        <v>168.71785</v>
      </c>
      <c r="BB816" s="107"/>
      <c r="BC816" s="107"/>
      <c r="BD816" s="107"/>
      <c r="BE816" s="107"/>
      <c r="BF816" s="107"/>
      <c r="BG816" s="107"/>
      <c r="BH816" s="107"/>
      <c r="BI816" s="107"/>
      <c r="BJ816" s="107"/>
      <c r="BK816" s="107"/>
      <c r="BL816" s="107"/>
      <c r="BM816" s="107"/>
      <c r="BN816" s="107">
        <v>234.13463</v>
      </c>
      <c r="BO816" s="107"/>
      <c r="BP816" s="107"/>
      <c r="BQ816" s="109"/>
      <c r="BR816" s="109"/>
      <c r="BS816" s="109"/>
      <c r="BT816" s="109"/>
      <c r="BU816" s="138"/>
    </row>
    <row r="817" spans="1:73" ht="47.25" customHeight="1" outlineLevel="2">
      <c r="A817" s="24" t="s">
        <v>15</v>
      </c>
      <c r="B817" s="19" t="s">
        <v>1067</v>
      </c>
      <c r="C817" s="20" t="s">
        <v>1422</v>
      </c>
      <c r="D817" s="209">
        <v>2433004150</v>
      </c>
      <c r="E817" s="274" t="s">
        <v>2807</v>
      </c>
      <c r="F817" s="108">
        <f t="shared" si="138"/>
        <v>9.52089</v>
      </c>
      <c r="G817" s="106">
        <f t="shared" si="139"/>
        <v>0</v>
      </c>
      <c r="H817" s="106">
        <f t="shared" si="140"/>
        <v>9.52089</v>
      </c>
      <c r="I817" s="107"/>
      <c r="J817" s="107"/>
      <c r="K817" s="107"/>
      <c r="L817" s="107"/>
      <c r="M817" s="107"/>
      <c r="N817" s="107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7"/>
      <c r="Z817" s="107"/>
      <c r="AA817" s="106"/>
      <c r="AB817" s="106"/>
      <c r="AC817" s="107"/>
      <c r="AD817" s="107"/>
      <c r="AE817" s="107"/>
      <c r="AF817" s="107"/>
      <c r="AG817" s="107"/>
      <c r="AH817" s="107"/>
      <c r="AI817" s="107"/>
      <c r="AJ817" s="108">
        <v>0</v>
      </c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7"/>
      <c r="AV817" s="107"/>
      <c r="AW817" s="107"/>
      <c r="AX817" s="107"/>
      <c r="AY817" s="106"/>
      <c r="AZ817" s="107"/>
      <c r="BA817" s="107">
        <v>9.52089</v>
      </c>
      <c r="BB817" s="107"/>
      <c r="BC817" s="107"/>
      <c r="BD817" s="107"/>
      <c r="BE817" s="107"/>
      <c r="BF817" s="107"/>
      <c r="BG817" s="107"/>
      <c r="BH817" s="107"/>
      <c r="BI817" s="107"/>
      <c r="BJ817" s="107"/>
      <c r="BK817" s="107"/>
      <c r="BL817" s="107"/>
      <c r="BM817" s="107"/>
      <c r="BN817" s="107"/>
      <c r="BO817" s="107"/>
      <c r="BP817" s="107"/>
      <c r="BQ817" s="109"/>
      <c r="BR817" s="109"/>
      <c r="BS817" s="109"/>
      <c r="BT817" s="109"/>
      <c r="BU817" s="138"/>
    </row>
    <row r="818" spans="1:73" ht="39.75" customHeight="1" outlineLevel="2" thickBot="1">
      <c r="A818" s="24" t="s">
        <v>15</v>
      </c>
      <c r="B818" s="19" t="s">
        <v>8</v>
      </c>
      <c r="C818" s="53" t="s">
        <v>1037</v>
      </c>
      <c r="D818" s="218" t="s">
        <v>535</v>
      </c>
      <c r="E818" s="203" t="s">
        <v>2610</v>
      </c>
      <c r="F818" s="108">
        <f t="shared" si="138"/>
        <v>35.65388</v>
      </c>
      <c r="G818" s="106">
        <f t="shared" si="139"/>
        <v>0</v>
      </c>
      <c r="H818" s="106">
        <f t="shared" si="140"/>
        <v>35.65388</v>
      </c>
      <c r="I818" s="107"/>
      <c r="J818" s="107"/>
      <c r="K818" s="107"/>
      <c r="L818" s="107"/>
      <c r="M818" s="107"/>
      <c r="N818" s="107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7"/>
      <c r="Z818" s="107"/>
      <c r="AA818" s="106"/>
      <c r="AB818" s="106"/>
      <c r="AC818" s="107"/>
      <c r="AD818" s="107"/>
      <c r="AE818" s="107"/>
      <c r="AF818" s="107"/>
      <c r="AG818" s="107"/>
      <c r="AH818" s="107"/>
      <c r="AI818" s="107"/>
      <c r="AJ818" s="108">
        <v>35.65388</v>
      </c>
      <c r="AK818" s="107"/>
      <c r="AL818" s="107"/>
      <c r="AM818" s="107"/>
      <c r="AN818" s="107"/>
      <c r="AO818" s="107"/>
      <c r="AP818" s="107"/>
      <c r="AQ818" s="107"/>
      <c r="AR818" s="107"/>
      <c r="AS818" s="107"/>
      <c r="AT818" s="107"/>
      <c r="AU818" s="107"/>
      <c r="AV818" s="107"/>
      <c r="AW818" s="107"/>
      <c r="AX818" s="107"/>
      <c r="AY818" s="106"/>
      <c r="AZ818" s="107"/>
      <c r="BA818" s="107"/>
      <c r="BB818" s="107"/>
      <c r="BC818" s="107"/>
      <c r="BD818" s="107"/>
      <c r="BE818" s="107"/>
      <c r="BF818" s="107"/>
      <c r="BG818" s="107"/>
      <c r="BH818" s="107"/>
      <c r="BI818" s="107"/>
      <c r="BJ818" s="107"/>
      <c r="BK818" s="107"/>
      <c r="BL818" s="107"/>
      <c r="BM818" s="107"/>
      <c r="BN818" s="107"/>
      <c r="BO818" s="107"/>
      <c r="BP818" s="107"/>
      <c r="BQ818" s="109"/>
      <c r="BR818" s="109"/>
      <c r="BS818" s="109"/>
      <c r="BT818" s="109"/>
      <c r="BU818" s="138"/>
    </row>
    <row r="819" spans="1:73" s="32" customFormat="1" ht="21" outlineLevel="1" thickBot="1">
      <c r="A819" s="40" t="s">
        <v>1326</v>
      </c>
      <c r="B819" s="41"/>
      <c r="C819" s="30" t="s">
        <v>1572</v>
      </c>
      <c r="D819" s="222"/>
      <c r="E819" s="223"/>
      <c r="F819" s="117">
        <f>SUBTOTAL(9,F794:F818)</f>
        <v>40902.728709999996</v>
      </c>
      <c r="G819" s="117">
        <f>SUBTOTAL(9,G794:G818)</f>
        <v>11761.376309999998</v>
      </c>
      <c r="H819" s="117">
        <f>SUBTOTAL(9,H794:H818)</f>
        <v>29141.3524</v>
      </c>
      <c r="I819" s="117">
        <f aca="true" t="shared" si="141" ref="I819:BM819">SUBTOTAL(9,I794:I818)</f>
        <v>75.34229</v>
      </c>
      <c r="J819" s="117">
        <f t="shared" si="141"/>
        <v>18.83556</v>
      </c>
      <c r="K819" s="117">
        <f t="shared" si="141"/>
        <v>1565.5049099999999</v>
      </c>
      <c r="L819" s="117">
        <f t="shared" si="141"/>
        <v>116.90826</v>
      </c>
      <c r="M819" s="117">
        <f t="shared" si="141"/>
        <v>596.93277</v>
      </c>
      <c r="N819" s="117">
        <f t="shared" si="141"/>
        <v>0</v>
      </c>
      <c r="O819" s="117">
        <f t="shared" si="141"/>
        <v>266.97464</v>
      </c>
      <c r="P819" s="117">
        <f t="shared" si="141"/>
        <v>116.80906</v>
      </c>
      <c r="Q819" s="117">
        <f t="shared" si="141"/>
        <v>105.63022</v>
      </c>
      <c r="R819" s="117">
        <f t="shared" si="141"/>
        <v>0</v>
      </c>
      <c r="S819" s="117">
        <f t="shared" si="141"/>
        <v>13.63499</v>
      </c>
      <c r="T819" s="117">
        <f t="shared" si="141"/>
        <v>6.817489999999999</v>
      </c>
      <c r="U819" s="117">
        <f t="shared" si="141"/>
        <v>0</v>
      </c>
      <c r="V819" s="117">
        <f t="shared" si="141"/>
        <v>0</v>
      </c>
      <c r="W819" s="117">
        <f t="shared" si="141"/>
        <v>0</v>
      </c>
      <c r="X819" s="117">
        <f t="shared" si="141"/>
        <v>0</v>
      </c>
      <c r="Y819" s="117">
        <f t="shared" si="141"/>
        <v>327.47616999999997</v>
      </c>
      <c r="Z819" s="117">
        <f t="shared" si="141"/>
        <v>810.5789999999998</v>
      </c>
      <c r="AA819" s="117">
        <f t="shared" si="141"/>
        <v>2966.3743099999997</v>
      </c>
      <c r="AB819" s="117">
        <f t="shared" si="141"/>
        <v>1398.5941</v>
      </c>
      <c r="AC819" s="117">
        <f t="shared" si="141"/>
        <v>0</v>
      </c>
      <c r="AD819" s="117">
        <f t="shared" si="141"/>
        <v>0</v>
      </c>
      <c r="AE819" s="117">
        <f t="shared" si="141"/>
        <v>0</v>
      </c>
      <c r="AF819" s="117">
        <f t="shared" si="141"/>
        <v>0</v>
      </c>
      <c r="AG819" s="117">
        <f t="shared" si="141"/>
        <v>37.5876</v>
      </c>
      <c r="AH819" s="117">
        <f t="shared" si="141"/>
        <v>0</v>
      </c>
      <c r="AI819" s="117">
        <f t="shared" si="141"/>
        <v>0</v>
      </c>
      <c r="AJ819" s="117">
        <f>SUBTOTAL(9,AJ794:AJ818)</f>
        <v>1231.42548</v>
      </c>
      <c r="AK819" s="117">
        <f t="shared" si="141"/>
        <v>0</v>
      </c>
      <c r="AL819" s="117">
        <f t="shared" si="141"/>
        <v>0</v>
      </c>
      <c r="AM819" s="117">
        <f t="shared" si="141"/>
        <v>0</v>
      </c>
      <c r="AN819" s="117">
        <f t="shared" si="141"/>
        <v>0</v>
      </c>
      <c r="AO819" s="117">
        <f t="shared" si="141"/>
        <v>0</v>
      </c>
      <c r="AP819" s="117">
        <f t="shared" si="141"/>
        <v>0</v>
      </c>
      <c r="AQ819" s="117">
        <f t="shared" si="141"/>
        <v>0</v>
      </c>
      <c r="AR819" s="117">
        <f t="shared" si="141"/>
        <v>0</v>
      </c>
      <c r="AS819" s="117">
        <f t="shared" si="141"/>
        <v>0</v>
      </c>
      <c r="AT819" s="117">
        <f t="shared" si="141"/>
        <v>0</v>
      </c>
      <c r="AU819" s="117">
        <f t="shared" si="141"/>
        <v>0</v>
      </c>
      <c r="AV819" s="117">
        <f t="shared" si="141"/>
        <v>0</v>
      </c>
      <c r="AW819" s="117">
        <f t="shared" si="141"/>
        <v>0</v>
      </c>
      <c r="AX819" s="117">
        <f t="shared" si="141"/>
        <v>523.1138</v>
      </c>
      <c r="AY819" s="117">
        <f t="shared" si="141"/>
        <v>589.04317</v>
      </c>
      <c r="AZ819" s="117">
        <f t="shared" si="141"/>
        <v>135.27</v>
      </c>
      <c r="BA819" s="117">
        <f t="shared" si="141"/>
        <v>8617.897840000001</v>
      </c>
      <c r="BB819" s="117">
        <f t="shared" si="141"/>
        <v>0</v>
      </c>
      <c r="BC819" s="117">
        <f t="shared" si="141"/>
        <v>4522.955200000001</v>
      </c>
      <c r="BD819" s="117">
        <f t="shared" si="141"/>
        <v>4435.479550000001</v>
      </c>
      <c r="BE819" s="117">
        <f t="shared" si="141"/>
        <v>0</v>
      </c>
      <c r="BF819" s="117">
        <f t="shared" si="141"/>
        <v>0</v>
      </c>
      <c r="BG819" s="117">
        <f t="shared" si="141"/>
        <v>0</v>
      </c>
      <c r="BH819" s="117">
        <f t="shared" si="141"/>
        <v>0</v>
      </c>
      <c r="BI819" s="117">
        <f t="shared" si="141"/>
        <v>0</v>
      </c>
      <c r="BJ819" s="117">
        <f t="shared" si="141"/>
        <v>9891.07167</v>
      </c>
      <c r="BK819" s="117"/>
      <c r="BL819" s="117">
        <f t="shared" si="141"/>
        <v>0</v>
      </c>
      <c r="BM819" s="117">
        <f t="shared" si="141"/>
        <v>798.336</v>
      </c>
      <c r="BN819" s="117">
        <f aca="true" t="shared" si="142" ref="BN819:BU819">SUBTOTAL(9,BN794:BN818)</f>
        <v>234.13463</v>
      </c>
      <c r="BO819" s="117">
        <f t="shared" si="142"/>
        <v>0</v>
      </c>
      <c r="BP819" s="117">
        <f t="shared" si="142"/>
        <v>0</v>
      </c>
      <c r="BQ819" s="117">
        <f t="shared" si="142"/>
        <v>0</v>
      </c>
      <c r="BR819" s="117">
        <f t="shared" si="142"/>
        <v>1500</v>
      </c>
      <c r="BS819" s="117">
        <f t="shared" si="142"/>
        <v>0</v>
      </c>
      <c r="BT819" s="117">
        <f t="shared" si="142"/>
        <v>0</v>
      </c>
      <c r="BU819" s="117">
        <f t="shared" si="142"/>
        <v>0</v>
      </c>
    </row>
    <row r="820" spans="1:73" ht="39" customHeight="1" outlineLevel="2">
      <c r="A820" s="34" t="s">
        <v>882</v>
      </c>
      <c r="B820" s="33" t="s">
        <v>286</v>
      </c>
      <c r="C820" s="4" t="s">
        <v>1496</v>
      </c>
      <c r="D820" s="230" t="s">
        <v>1704</v>
      </c>
      <c r="E820" s="203" t="s">
        <v>2615</v>
      </c>
      <c r="F820" s="108">
        <f t="shared" si="138"/>
        <v>3843.3873700000004</v>
      </c>
      <c r="G820" s="106">
        <f>I820+K820+O820+S820+U820+W820+Y820+AA820+AC820+AE820+AR820+AX820+BC820+BG820+BP820+BR820+BT820+AO820</f>
        <v>1353.4662600000001</v>
      </c>
      <c r="H820" s="106">
        <f>J820+L820+M820+N820+P820+Q820+R820+T820+V820+X820+Z820+AB820+AD820+AF820+AG820+AJ820+AL820+AS820+AT820+AU820+AV820+AW820+AY820+AZ820+BA820+BB820+BD820+BE820+BF820+BH820+BI820+BJ820+BL820+BM820+BN820+BO820+BQ820+BS820+BU820+AH820+AI820+AK820+AM820+AN820+AP820+AQ820+BK820</f>
        <v>2489.92111</v>
      </c>
      <c r="I820" s="119"/>
      <c r="J820" s="119"/>
      <c r="K820" s="119"/>
      <c r="L820" s="119"/>
      <c r="M820" s="119"/>
      <c r="N820" s="119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19"/>
      <c r="Z820" s="119">
        <v>15.972</v>
      </c>
      <c r="AA820" s="163">
        <v>528.59348</v>
      </c>
      <c r="AB820" s="120">
        <v>312.55934</v>
      </c>
      <c r="AC820" s="119"/>
      <c r="AD820" s="119"/>
      <c r="AE820" s="119"/>
      <c r="AF820" s="119"/>
      <c r="AG820" s="119"/>
      <c r="AH820" s="119"/>
      <c r="AI820" s="119"/>
      <c r="AJ820" s="108">
        <v>443.95815999999996</v>
      </c>
      <c r="AK820" s="119">
        <v>36.2163</v>
      </c>
      <c r="AL820" s="119"/>
      <c r="AM820" s="119"/>
      <c r="AN820" s="119"/>
      <c r="AO820" s="119"/>
      <c r="AP820" s="119"/>
      <c r="AQ820" s="119"/>
      <c r="AR820" s="119"/>
      <c r="AS820" s="119"/>
      <c r="AT820" s="119"/>
      <c r="AU820" s="119"/>
      <c r="AV820" s="119"/>
      <c r="AW820" s="119"/>
      <c r="AX820" s="119"/>
      <c r="AY820" s="120">
        <v>261.88984</v>
      </c>
      <c r="AZ820" s="119"/>
      <c r="BA820" s="119"/>
      <c r="BB820" s="119"/>
      <c r="BC820" s="119">
        <v>824.87278</v>
      </c>
      <c r="BD820" s="119">
        <v>808.93858</v>
      </c>
      <c r="BE820" s="119">
        <v>38.4</v>
      </c>
      <c r="BF820" s="119"/>
      <c r="BG820" s="119"/>
      <c r="BH820" s="119"/>
      <c r="BI820" s="119"/>
      <c r="BJ820" s="119">
        <v>571.98689</v>
      </c>
      <c r="BK820" s="119"/>
      <c r="BL820" s="119"/>
      <c r="BM820" s="119"/>
      <c r="BN820" s="119"/>
      <c r="BO820" s="119"/>
      <c r="BP820" s="119"/>
      <c r="BQ820" s="121"/>
      <c r="BR820" s="121"/>
      <c r="BS820" s="121"/>
      <c r="BT820" s="121"/>
      <c r="BU820" s="140"/>
    </row>
    <row r="821" spans="1:73" ht="37.5" customHeight="1" outlineLevel="2">
      <c r="A821" s="35" t="s">
        <v>882</v>
      </c>
      <c r="B821" s="37" t="s">
        <v>1602</v>
      </c>
      <c r="C821" s="20" t="s">
        <v>1496</v>
      </c>
      <c r="D821" s="218" t="s">
        <v>883</v>
      </c>
      <c r="E821" s="203" t="s">
        <v>2611</v>
      </c>
      <c r="F821" s="108">
        <f t="shared" si="138"/>
        <v>35775.5998</v>
      </c>
      <c r="G821" s="106">
        <f aca="true" t="shared" si="143" ref="G821:G828">I821+K821+O821+S821+U821+W821+Y821+AA821+AC821+AE821+AR821+AX821+BC821+BG821+BP821+BR821+BT821+AO821</f>
        <v>14339.59055</v>
      </c>
      <c r="H821" s="106">
        <f aca="true" t="shared" si="144" ref="H821:H828">J821+L821+M821+N821+P821+Q821+R821+T821+V821+X821+Z821+AB821+AD821+AF821+AG821+AJ821+AL821+AS821+AT821+AU821+AV821+AW821+AY821+AZ821+BA821+BB821+BD821+BE821+BF821+BH821+BI821+BJ821+BL821+BM821+BN821+BO821+BQ821+BS821+BU821+AH821+AI821+AK821+AM821+AN821+AP821+AQ821+BK821</f>
        <v>21436.009250000003</v>
      </c>
      <c r="I821" s="107">
        <v>29.52413</v>
      </c>
      <c r="J821" s="107">
        <v>7.38104</v>
      </c>
      <c r="K821" s="107">
        <v>6287.2143</v>
      </c>
      <c r="L821" s="107">
        <v>1451.79871</v>
      </c>
      <c r="M821" s="107">
        <v>1150.80785</v>
      </c>
      <c r="N821" s="107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7">
        <v>113.64046</v>
      </c>
      <c r="Z821" s="107">
        <v>539.055</v>
      </c>
      <c r="AA821" s="159">
        <v>2341.28183</v>
      </c>
      <c r="AB821" s="106">
        <v>1451.47961</v>
      </c>
      <c r="AC821" s="132"/>
      <c r="AD821" s="107"/>
      <c r="AE821" s="107"/>
      <c r="AF821" s="107"/>
      <c r="AG821" s="107">
        <v>238.8822</v>
      </c>
      <c r="AH821" s="107"/>
      <c r="AI821" s="107"/>
      <c r="AJ821" s="108">
        <v>1795.3570399999999</v>
      </c>
      <c r="AK821" s="107">
        <v>79.1245</v>
      </c>
      <c r="AL821" s="107"/>
      <c r="AM821" s="107"/>
      <c r="AN821" s="107">
        <v>6834.768</v>
      </c>
      <c r="AO821" s="107"/>
      <c r="AP821" s="107"/>
      <c r="AQ821" s="107"/>
      <c r="AR821" s="107"/>
      <c r="AS821" s="107"/>
      <c r="AT821" s="107"/>
      <c r="AU821" s="107"/>
      <c r="AV821" s="107"/>
      <c r="AW821" s="107"/>
      <c r="AX821" s="107">
        <v>780.16</v>
      </c>
      <c r="AY821" s="106">
        <v>2794.06804</v>
      </c>
      <c r="AZ821" s="107"/>
      <c r="BA821" s="107"/>
      <c r="BB821" s="107"/>
      <c r="BC821" s="107">
        <v>4787.76983</v>
      </c>
      <c r="BD821" s="107">
        <v>4694.938</v>
      </c>
      <c r="BE821" s="107"/>
      <c r="BF821" s="107"/>
      <c r="BG821" s="107"/>
      <c r="BH821" s="107"/>
      <c r="BI821" s="107"/>
      <c r="BJ821" s="107">
        <v>398.34926</v>
      </c>
      <c r="BK821" s="107"/>
      <c r="BL821" s="107"/>
      <c r="BM821" s="107"/>
      <c r="BN821" s="107"/>
      <c r="BO821" s="107"/>
      <c r="BP821" s="107"/>
      <c r="BQ821" s="109"/>
      <c r="BR821" s="109"/>
      <c r="BS821" s="109"/>
      <c r="BT821" s="109"/>
      <c r="BU821" s="138"/>
    </row>
    <row r="822" spans="1:73" ht="39" customHeight="1" outlineLevel="2">
      <c r="A822" s="35" t="s">
        <v>882</v>
      </c>
      <c r="B822" s="37" t="s">
        <v>1823</v>
      </c>
      <c r="C822" s="20" t="s">
        <v>1496</v>
      </c>
      <c r="D822" s="218" t="s">
        <v>831</v>
      </c>
      <c r="E822" s="203" t="s">
        <v>2612</v>
      </c>
      <c r="F822" s="108">
        <f t="shared" si="138"/>
        <v>23094.25129</v>
      </c>
      <c r="G822" s="106">
        <f t="shared" si="143"/>
        <v>12915.217069999999</v>
      </c>
      <c r="H822" s="106">
        <f t="shared" si="144"/>
        <v>10179.03422</v>
      </c>
      <c r="I822" s="107">
        <v>19.2069</v>
      </c>
      <c r="J822" s="107">
        <v>4.80163</v>
      </c>
      <c r="K822" s="124">
        <v>1187.5904</v>
      </c>
      <c r="L822" s="107">
        <v>160.17569</v>
      </c>
      <c r="M822" s="107">
        <v>484.12199</v>
      </c>
      <c r="N822" s="107"/>
      <c r="O822" s="106"/>
      <c r="P822" s="106"/>
      <c r="Q822" s="106"/>
      <c r="R822" s="106"/>
      <c r="S822" s="106">
        <v>487.77032</v>
      </c>
      <c r="T822" s="106">
        <v>122.06146</v>
      </c>
      <c r="U822" s="106">
        <v>54.35146</v>
      </c>
      <c r="V822" s="106">
        <v>2.41066</v>
      </c>
      <c r="W822" s="106">
        <v>1170.64245</v>
      </c>
      <c r="X822" s="106">
        <v>611.15733</v>
      </c>
      <c r="Y822" s="107">
        <v>76</v>
      </c>
      <c r="Z822" s="107">
        <v>199.65</v>
      </c>
      <c r="AA822" s="159">
        <v>374.14601</v>
      </c>
      <c r="AB822" s="106">
        <v>204.21336</v>
      </c>
      <c r="AC822" s="107"/>
      <c r="AD822" s="107"/>
      <c r="AE822" s="107"/>
      <c r="AF822" s="107"/>
      <c r="AG822" s="107">
        <v>193.4934</v>
      </c>
      <c r="AH822" s="107"/>
      <c r="AI822" s="107"/>
      <c r="AJ822" s="108">
        <v>813.1874</v>
      </c>
      <c r="AK822" s="107">
        <f>85.0202+129.7025</f>
        <v>214.72269999999997</v>
      </c>
      <c r="AL822" s="107"/>
      <c r="AM822" s="107"/>
      <c r="AN822" s="107"/>
      <c r="AO822" s="107">
        <v>5533.2962</v>
      </c>
      <c r="AP822" s="107">
        <v>1210.56</v>
      </c>
      <c r="AQ822" s="107"/>
      <c r="AR822" s="107"/>
      <c r="AS822" s="107"/>
      <c r="AT822" s="107"/>
      <c r="AU822" s="107"/>
      <c r="AV822" s="107"/>
      <c r="AW822" s="107"/>
      <c r="AX822" s="107">
        <v>1599.36</v>
      </c>
      <c r="AY822" s="106">
        <v>2917.11084</v>
      </c>
      <c r="AZ822" s="107"/>
      <c r="BA822" s="107">
        <v>37.21421</v>
      </c>
      <c r="BB822" s="107"/>
      <c r="BC822" s="107">
        <v>2412.85333</v>
      </c>
      <c r="BD822" s="107">
        <v>2366.19967</v>
      </c>
      <c r="BE822" s="107">
        <v>302.24555</v>
      </c>
      <c r="BF822" s="107"/>
      <c r="BG822" s="107"/>
      <c r="BH822" s="107"/>
      <c r="BI822" s="107"/>
      <c r="BJ822" s="107">
        <v>335.70833</v>
      </c>
      <c r="BK822" s="107"/>
      <c r="BL822" s="107"/>
      <c r="BM822" s="107"/>
      <c r="BN822" s="107"/>
      <c r="BO822" s="107"/>
      <c r="BP822" s="107"/>
      <c r="BQ822" s="109"/>
      <c r="BR822" s="109"/>
      <c r="BS822" s="109"/>
      <c r="BT822" s="109"/>
      <c r="BU822" s="138"/>
    </row>
    <row r="823" spans="1:73" ht="30.75" customHeight="1" outlineLevel="2">
      <c r="A823" s="24" t="s">
        <v>882</v>
      </c>
      <c r="B823" s="19" t="s">
        <v>99</v>
      </c>
      <c r="C823" s="20" t="s">
        <v>1496</v>
      </c>
      <c r="D823" s="218" t="s">
        <v>825</v>
      </c>
      <c r="E823" s="275" t="s">
        <v>2616</v>
      </c>
      <c r="F823" s="108">
        <f t="shared" si="138"/>
        <v>34.104929999999996</v>
      </c>
      <c r="G823" s="106">
        <f t="shared" si="143"/>
        <v>17.21934</v>
      </c>
      <c r="H823" s="106">
        <f t="shared" si="144"/>
        <v>16.88559</v>
      </c>
      <c r="I823" s="107"/>
      <c r="J823" s="107"/>
      <c r="K823" s="107"/>
      <c r="L823" s="107"/>
      <c r="M823" s="107"/>
      <c r="N823" s="107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7"/>
      <c r="Z823" s="107"/>
      <c r="AA823" s="159"/>
      <c r="AB823" s="106"/>
      <c r="AC823" s="132"/>
      <c r="AD823" s="107"/>
      <c r="AE823" s="107"/>
      <c r="AF823" s="107"/>
      <c r="AG823" s="107"/>
      <c r="AH823" s="107"/>
      <c r="AI823" s="107"/>
      <c r="AJ823" s="108">
        <v>0</v>
      </c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7"/>
      <c r="AV823" s="107"/>
      <c r="AW823" s="107"/>
      <c r="AX823" s="107"/>
      <c r="AY823" s="106"/>
      <c r="AZ823" s="107"/>
      <c r="BA823" s="107"/>
      <c r="BB823" s="107"/>
      <c r="BC823" s="107">
        <v>17.21934</v>
      </c>
      <c r="BD823" s="107">
        <v>16.88559</v>
      </c>
      <c r="BE823" s="107"/>
      <c r="BF823" s="107"/>
      <c r="BG823" s="107"/>
      <c r="BH823" s="107"/>
      <c r="BI823" s="107"/>
      <c r="BJ823" s="107"/>
      <c r="BK823" s="107"/>
      <c r="BL823" s="107"/>
      <c r="BM823" s="107"/>
      <c r="BN823" s="107"/>
      <c r="BO823" s="107"/>
      <c r="BP823" s="107"/>
      <c r="BQ823" s="109"/>
      <c r="BR823" s="109"/>
      <c r="BS823" s="109"/>
      <c r="BT823" s="109"/>
      <c r="BU823" s="138"/>
    </row>
    <row r="824" spans="1:73" ht="31.5" customHeight="1" outlineLevel="2">
      <c r="A824" s="24" t="s">
        <v>882</v>
      </c>
      <c r="B824" s="19" t="s">
        <v>1188</v>
      </c>
      <c r="C824" s="4" t="s">
        <v>1496</v>
      </c>
      <c r="D824" s="230" t="s">
        <v>1189</v>
      </c>
      <c r="E824" s="203" t="s">
        <v>2614</v>
      </c>
      <c r="F824" s="108">
        <f t="shared" si="138"/>
        <v>2123.6721000000002</v>
      </c>
      <c r="G824" s="106">
        <f t="shared" si="143"/>
        <v>956.1561</v>
      </c>
      <c r="H824" s="106">
        <f t="shared" si="144"/>
        <v>1167.516</v>
      </c>
      <c r="I824" s="107"/>
      <c r="J824" s="107"/>
      <c r="K824" s="107">
        <v>207.39845</v>
      </c>
      <c r="L824" s="107">
        <v>99.7945</v>
      </c>
      <c r="M824" s="107">
        <v>20.57207</v>
      </c>
      <c r="N824" s="107"/>
      <c r="O824" s="106"/>
      <c r="P824" s="106"/>
      <c r="Q824" s="106"/>
      <c r="R824" s="106"/>
      <c r="S824" s="106">
        <v>64.06973</v>
      </c>
      <c r="T824" s="106">
        <v>32.03486</v>
      </c>
      <c r="U824" s="106"/>
      <c r="V824" s="106"/>
      <c r="W824" s="106"/>
      <c r="X824" s="106"/>
      <c r="Y824" s="107"/>
      <c r="Z824" s="107"/>
      <c r="AA824" s="159">
        <v>313.74313</v>
      </c>
      <c r="AB824" s="106">
        <v>297.10964</v>
      </c>
      <c r="AC824" s="132"/>
      <c r="AD824" s="107"/>
      <c r="AE824" s="107"/>
      <c r="AF824" s="107"/>
      <c r="AG824" s="107"/>
      <c r="AH824" s="107"/>
      <c r="AI824" s="107"/>
      <c r="AJ824" s="108">
        <v>208.99804</v>
      </c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7"/>
      <c r="AV824" s="107"/>
      <c r="AW824" s="107"/>
      <c r="AX824" s="107"/>
      <c r="AY824" s="106"/>
      <c r="AZ824" s="107"/>
      <c r="BA824" s="107"/>
      <c r="BB824" s="107"/>
      <c r="BC824" s="107">
        <v>370.94479</v>
      </c>
      <c r="BD824" s="107">
        <v>363.77189</v>
      </c>
      <c r="BE824" s="107">
        <v>145.235</v>
      </c>
      <c r="BF824" s="107"/>
      <c r="BG824" s="107"/>
      <c r="BH824" s="107"/>
      <c r="BI824" s="107"/>
      <c r="BJ824" s="107"/>
      <c r="BK824" s="107"/>
      <c r="BL824" s="107"/>
      <c r="BM824" s="107"/>
      <c r="BN824" s="107"/>
      <c r="BO824" s="107"/>
      <c r="BP824" s="107"/>
      <c r="BQ824" s="109"/>
      <c r="BR824" s="109"/>
      <c r="BS824" s="109"/>
      <c r="BT824" s="109"/>
      <c r="BU824" s="138"/>
    </row>
    <row r="825" spans="1:73" ht="35.25" customHeight="1" outlineLevel="2">
      <c r="A825" s="24" t="s">
        <v>882</v>
      </c>
      <c r="B825" s="19" t="s">
        <v>1190</v>
      </c>
      <c r="C825" s="20" t="s">
        <v>1496</v>
      </c>
      <c r="D825" s="218" t="s">
        <v>1191</v>
      </c>
      <c r="E825" s="275" t="s">
        <v>2617</v>
      </c>
      <c r="F825" s="108">
        <f t="shared" si="138"/>
        <v>3042.33144</v>
      </c>
      <c r="G825" s="106">
        <f t="shared" si="143"/>
        <v>812.9663400000001</v>
      </c>
      <c r="H825" s="106">
        <f t="shared" si="144"/>
        <v>2229.3651</v>
      </c>
      <c r="I825" s="107"/>
      <c r="J825" s="107"/>
      <c r="K825" s="107"/>
      <c r="L825" s="107"/>
      <c r="M825" s="107"/>
      <c r="N825" s="107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7">
        <v>22.8</v>
      </c>
      <c r="Z825" s="107">
        <v>59.895</v>
      </c>
      <c r="AA825" s="159">
        <v>299.65347</v>
      </c>
      <c r="AB825" s="106">
        <v>198.07309</v>
      </c>
      <c r="AC825" s="107"/>
      <c r="AD825" s="107"/>
      <c r="AE825" s="107"/>
      <c r="AF825" s="107"/>
      <c r="AG825" s="107"/>
      <c r="AH825" s="107"/>
      <c r="AI825" s="107"/>
      <c r="AJ825" s="108">
        <v>176.11852</v>
      </c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7"/>
      <c r="AV825" s="107"/>
      <c r="AW825" s="107"/>
      <c r="AX825" s="107"/>
      <c r="AY825" s="106"/>
      <c r="AZ825" s="107"/>
      <c r="BA825" s="107">
        <v>127.9145</v>
      </c>
      <c r="BB825" s="107"/>
      <c r="BC825" s="107">
        <v>490.51287</v>
      </c>
      <c r="BD825" s="107">
        <v>481.03248</v>
      </c>
      <c r="BE825" s="107">
        <v>66.8</v>
      </c>
      <c r="BF825" s="107"/>
      <c r="BG825" s="107"/>
      <c r="BH825" s="107"/>
      <c r="BI825" s="107"/>
      <c r="BJ825" s="107">
        <v>1119.53151</v>
      </c>
      <c r="BK825" s="107"/>
      <c r="BL825" s="107"/>
      <c r="BM825" s="107"/>
      <c r="BN825" s="107"/>
      <c r="BO825" s="107"/>
      <c r="BP825" s="107"/>
      <c r="BQ825" s="109"/>
      <c r="BR825" s="109"/>
      <c r="BS825" s="109"/>
      <c r="BT825" s="109"/>
      <c r="BU825" s="138"/>
    </row>
    <row r="826" spans="1:73" ht="28.5" customHeight="1" outlineLevel="2">
      <c r="A826" s="35" t="s">
        <v>882</v>
      </c>
      <c r="B826" s="19" t="s">
        <v>1192</v>
      </c>
      <c r="C826" s="20" t="s">
        <v>1496</v>
      </c>
      <c r="D826" s="218" t="s">
        <v>1193</v>
      </c>
      <c r="E826" s="203" t="s">
        <v>2613</v>
      </c>
      <c r="F826" s="108">
        <f t="shared" si="138"/>
        <v>1536.91769</v>
      </c>
      <c r="G826" s="106">
        <f t="shared" si="143"/>
        <v>1377.29745</v>
      </c>
      <c r="H826" s="106">
        <f t="shared" si="144"/>
        <v>159.62024</v>
      </c>
      <c r="I826" s="107">
        <v>585.26788</v>
      </c>
      <c r="J826" s="107">
        <v>54.34378</v>
      </c>
      <c r="K826" s="107">
        <v>792.02957</v>
      </c>
      <c r="L826" s="107">
        <v>70.60537</v>
      </c>
      <c r="M826" s="107">
        <v>34.67109</v>
      </c>
      <c r="N826" s="107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7"/>
      <c r="Z826" s="107"/>
      <c r="AA826" s="159"/>
      <c r="AB826" s="106"/>
      <c r="AC826" s="107"/>
      <c r="AD826" s="107"/>
      <c r="AE826" s="107"/>
      <c r="AF826" s="107"/>
      <c r="AG826" s="107"/>
      <c r="AH826" s="107"/>
      <c r="AI826" s="107"/>
      <c r="AJ826" s="108">
        <v>0</v>
      </c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7"/>
      <c r="AV826" s="107"/>
      <c r="AW826" s="107"/>
      <c r="AX826" s="107"/>
      <c r="AY826" s="106"/>
      <c r="AZ826" s="107"/>
      <c r="BA826" s="107"/>
      <c r="BB826" s="107"/>
      <c r="BC826" s="107"/>
      <c r="BD826" s="107"/>
      <c r="BE826" s="107"/>
      <c r="BF826" s="107"/>
      <c r="BG826" s="107"/>
      <c r="BH826" s="107"/>
      <c r="BI826" s="107"/>
      <c r="BJ826" s="107"/>
      <c r="BK826" s="107"/>
      <c r="BL826" s="107"/>
      <c r="BM826" s="107"/>
      <c r="BN826" s="107"/>
      <c r="BO826" s="107"/>
      <c r="BP826" s="107"/>
      <c r="BQ826" s="109"/>
      <c r="BR826" s="109"/>
      <c r="BS826" s="109"/>
      <c r="BT826" s="109"/>
      <c r="BU826" s="138"/>
    </row>
    <row r="827" spans="1:73" ht="43.5" customHeight="1" outlineLevel="2">
      <c r="A827" s="35" t="s">
        <v>882</v>
      </c>
      <c r="B827" s="39" t="s">
        <v>1718</v>
      </c>
      <c r="C827" s="27" t="s">
        <v>1496</v>
      </c>
      <c r="D827" s="218" t="s">
        <v>2619</v>
      </c>
      <c r="E827" s="275" t="s">
        <v>2618</v>
      </c>
      <c r="F827" s="108">
        <f t="shared" si="138"/>
        <v>446.97598</v>
      </c>
      <c r="G827" s="106">
        <f t="shared" si="143"/>
        <v>0</v>
      </c>
      <c r="H827" s="106">
        <f t="shared" si="144"/>
        <v>446.97598</v>
      </c>
      <c r="I827" s="113"/>
      <c r="J827" s="113"/>
      <c r="K827" s="113"/>
      <c r="L827" s="113"/>
      <c r="M827" s="113"/>
      <c r="N827" s="113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3"/>
      <c r="Z827" s="113"/>
      <c r="AA827" s="114"/>
      <c r="AB827" s="114"/>
      <c r="AC827" s="166"/>
      <c r="AD827" s="113"/>
      <c r="AE827" s="113"/>
      <c r="AF827" s="113"/>
      <c r="AG827" s="113"/>
      <c r="AH827" s="113"/>
      <c r="AI827" s="113"/>
      <c r="AJ827" s="108">
        <v>226.56</v>
      </c>
      <c r="AK827" s="113"/>
      <c r="AL827" s="113"/>
      <c r="AM827" s="113"/>
      <c r="AN827" s="113"/>
      <c r="AO827" s="113"/>
      <c r="AP827" s="113"/>
      <c r="AQ827" s="113"/>
      <c r="AR827" s="113"/>
      <c r="AS827" s="113"/>
      <c r="AT827" s="113"/>
      <c r="AU827" s="113"/>
      <c r="AV827" s="113"/>
      <c r="AW827" s="113"/>
      <c r="AX827" s="113"/>
      <c r="AY827" s="114"/>
      <c r="AZ827" s="113"/>
      <c r="BA827" s="113"/>
      <c r="BB827" s="113"/>
      <c r="BC827" s="113"/>
      <c r="BD827" s="113"/>
      <c r="BE827" s="113"/>
      <c r="BF827" s="113"/>
      <c r="BG827" s="113"/>
      <c r="BH827" s="113"/>
      <c r="BI827" s="113"/>
      <c r="BJ827" s="113"/>
      <c r="BK827" s="113"/>
      <c r="BL827" s="113"/>
      <c r="BM827" s="113">
        <v>220.41598</v>
      </c>
      <c r="BN827" s="113"/>
      <c r="BO827" s="113"/>
      <c r="BP827" s="113"/>
      <c r="BQ827" s="115"/>
      <c r="BR827" s="115"/>
      <c r="BS827" s="115"/>
      <c r="BT827" s="115"/>
      <c r="BU827" s="139"/>
    </row>
    <row r="828" spans="1:73" ht="38.25" customHeight="1" outlineLevel="2">
      <c r="A828" s="24" t="s">
        <v>882</v>
      </c>
      <c r="B828" s="19" t="s">
        <v>1464</v>
      </c>
      <c r="C828" s="20" t="s">
        <v>1496</v>
      </c>
      <c r="D828" s="218" t="s">
        <v>394</v>
      </c>
      <c r="E828" s="275" t="s">
        <v>2036</v>
      </c>
      <c r="F828" s="108">
        <f t="shared" si="138"/>
        <v>211355.70847000004</v>
      </c>
      <c r="G828" s="106">
        <f t="shared" si="143"/>
        <v>56331.541099999995</v>
      </c>
      <c r="H828" s="106">
        <f t="shared" si="144"/>
        <v>155024.16737000004</v>
      </c>
      <c r="I828" s="107">
        <v>53473.61871</v>
      </c>
      <c r="J828" s="107">
        <v>41860.02646</v>
      </c>
      <c r="K828" s="107">
        <v>98.75676</v>
      </c>
      <c r="L828" s="107">
        <v>11.4112</v>
      </c>
      <c r="M828" s="107">
        <v>85.66319</v>
      </c>
      <c r="N828" s="107">
        <v>95795.13195</v>
      </c>
      <c r="O828" s="106"/>
      <c r="P828" s="106"/>
      <c r="Q828" s="106"/>
      <c r="R828" s="106"/>
      <c r="S828" s="106"/>
      <c r="T828" s="106"/>
      <c r="U828" s="106"/>
      <c r="V828" s="106"/>
      <c r="W828" s="106">
        <v>573.27386</v>
      </c>
      <c r="X828" s="106">
        <v>299.28909</v>
      </c>
      <c r="Y828" s="107"/>
      <c r="Z828" s="107"/>
      <c r="AA828" s="159">
        <v>499.19092</v>
      </c>
      <c r="AB828" s="106">
        <v>297.10964</v>
      </c>
      <c r="AC828" s="107">
        <v>152.08781</v>
      </c>
      <c r="AD828" s="107">
        <v>79.40049</v>
      </c>
      <c r="AE828" s="107"/>
      <c r="AF828" s="107"/>
      <c r="AG828" s="107"/>
      <c r="AH828" s="107"/>
      <c r="AI828" s="107"/>
      <c r="AJ828" s="108">
        <v>261.58252</v>
      </c>
      <c r="AK828" s="107"/>
      <c r="AL828" s="107"/>
      <c r="AM828" s="107">
        <v>88.959</v>
      </c>
      <c r="AN828" s="107">
        <v>5174.7047</v>
      </c>
      <c r="AO828" s="107"/>
      <c r="AP828" s="107"/>
      <c r="AQ828" s="107"/>
      <c r="AR828" s="107"/>
      <c r="AS828" s="107"/>
      <c r="AT828" s="107"/>
      <c r="AU828" s="107"/>
      <c r="AV828" s="107"/>
      <c r="AW828" s="107"/>
      <c r="AX828" s="107"/>
      <c r="AY828" s="106"/>
      <c r="AZ828" s="107"/>
      <c r="BA828" s="107">
        <f>2935.47544+4220.97865</f>
        <v>7156.45409</v>
      </c>
      <c r="BB828" s="107"/>
      <c r="BC828" s="107">
        <v>1534.61304</v>
      </c>
      <c r="BD828" s="107">
        <v>1505.13631</v>
      </c>
      <c r="BE828" s="107"/>
      <c r="BF828" s="107"/>
      <c r="BG828" s="107"/>
      <c r="BH828" s="107"/>
      <c r="BI828" s="107"/>
      <c r="BJ828" s="107">
        <v>968.15807</v>
      </c>
      <c r="BK828" s="107"/>
      <c r="BL828" s="107"/>
      <c r="BM828" s="107">
        <v>1441.14066</v>
      </c>
      <c r="BN828" s="107"/>
      <c r="BO828" s="107"/>
      <c r="BP828" s="107"/>
      <c r="BQ828" s="109"/>
      <c r="BR828" s="109"/>
      <c r="BS828" s="109"/>
      <c r="BT828" s="109"/>
      <c r="BU828" s="138"/>
    </row>
    <row r="829" spans="1:73" ht="38.25" customHeight="1" outlineLevel="2">
      <c r="A829" s="24" t="s">
        <v>882</v>
      </c>
      <c r="B829" s="3" t="s">
        <v>101</v>
      </c>
      <c r="C829" s="20" t="s">
        <v>710</v>
      </c>
      <c r="D829" s="218" t="s">
        <v>1020</v>
      </c>
      <c r="E829" s="220" t="s">
        <v>2620</v>
      </c>
      <c r="F829" s="108">
        <f t="shared" si="138"/>
        <v>426.74699999999996</v>
      </c>
      <c r="G829" s="106">
        <f aca="true" t="shared" si="145" ref="G829:G846">I829+K829+O829+S829+U829+W829+Y829+AA829+AC829+AE829+AR829+AX829+BC829+BG829+BP829+BR829+BT829+AO829</f>
        <v>207.28519999999997</v>
      </c>
      <c r="H829" s="106">
        <f aca="true" t="shared" si="146" ref="H829:H846">J829+L829+M829+N829+P829+Q829+R829+T829+V829+X829+Z829+AB829+AD829+AF829+AG829+AJ829+AL829+AS829+AT829+AU829+AV829+AW829+AY829+AZ829+BA829+BB829+BD829+BE829+BF829+BH829+BI829+BJ829+BL829+BM829+BN829+BO829+BQ829+BS829+BU829+AH829+AI829+AK829+AM829+AN829+AP829+AQ829+BK829</f>
        <v>219.46179999999998</v>
      </c>
      <c r="I829" s="107"/>
      <c r="J829" s="107"/>
      <c r="K829" s="107"/>
      <c r="L829" s="107"/>
      <c r="M829" s="107"/>
      <c r="N829" s="107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7"/>
      <c r="Z829" s="107"/>
      <c r="AA829" s="159">
        <v>87.31624</v>
      </c>
      <c r="AB829" s="106">
        <v>79.22924</v>
      </c>
      <c r="AC829" s="132"/>
      <c r="AD829" s="107"/>
      <c r="AE829" s="107"/>
      <c r="AF829" s="107"/>
      <c r="AG829" s="107"/>
      <c r="AH829" s="107"/>
      <c r="AI829" s="107"/>
      <c r="AJ829" s="108">
        <v>22.58424</v>
      </c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7"/>
      <c r="AV829" s="107"/>
      <c r="AW829" s="107"/>
      <c r="AX829" s="107"/>
      <c r="AY829" s="106"/>
      <c r="AZ829" s="107"/>
      <c r="BA829" s="107"/>
      <c r="BB829" s="107"/>
      <c r="BC829" s="107">
        <v>119.96896</v>
      </c>
      <c r="BD829" s="107">
        <v>117.64832</v>
      </c>
      <c r="BE829" s="107"/>
      <c r="BF829" s="107"/>
      <c r="BG829" s="107"/>
      <c r="BH829" s="107"/>
      <c r="BI829" s="107"/>
      <c r="BJ829" s="107"/>
      <c r="BK829" s="107"/>
      <c r="BL829" s="107"/>
      <c r="BM829" s="107"/>
      <c r="BN829" s="107"/>
      <c r="BO829" s="107"/>
      <c r="BP829" s="107"/>
      <c r="BQ829" s="109"/>
      <c r="BR829" s="109"/>
      <c r="BS829" s="109"/>
      <c r="BT829" s="109"/>
      <c r="BU829" s="138"/>
    </row>
    <row r="830" spans="1:73" ht="38.25" customHeight="1" outlineLevel="2">
      <c r="A830" s="24" t="s">
        <v>882</v>
      </c>
      <c r="B830" s="3" t="s">
        <v>390</v>
      </c>
      <c r="C830" s="20" t="s">
        <v>587</v>
      </c>
      <c r="D830" s="218" t="s">
        <v>1580</v>
      </c>
      <c r="E830" s="220" t="s">
        <v>2621</v>
      </c>
      <c r="F830" s="108">
        <f t="shared" si="138"/>
        <v>89.22612000000001</v>
      </c>
      <c r="G830" s="106">
        <f t="shared" si="145"/>
        <v>49.6115</v>
      </c>
      <c r="H830" s="106">
        <f t="shared" si="146"/>
        <v>39.61462</v>
      </c>
      <c r="I830" s="107"/>
      <c r="J830" s="107"/>
      <c r="K830" s="107"/>
      <c r="L830" s="107"/>
      <c r="M830" s="107"/>
      <c r="N830" s="107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7"/>
      <c r="Z830" s="107"/>
      <c r="AA830" s="159">
        <v>49.6115</v>
      </c>
      <c r="AB830" s="106">
        <v>39.61462</v>
      </c>
      <c r="AC830" s="132"/>
      <c r="AD830" s="107"/>
      <c r="AE830" s="107"/>
      <c r="AF830" s="107"/>
      <c r="AG830" s="107"/>
      <c r="AH830" s="107"/>
      <c r="AI830" s="107"/>
      <c r="AJ830" s="108">
        <v>0</v>
      </c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7"/>
      <c r="AV830" s="107"/>
      <c r="AW830" s="107"/>
      <c r="AX830" s="107"/>
      <c r="AY830" s="106"/>
      <c r="AZ830" s="107"/>
      <c r="BA830" s="107"/>
      <c r="BB830" s="107"/>
      <c r="BC830" s="107"/>
      <c r="BD830" s="107"/>
      <c r="BE830" s="107"/>
      <c r="BF830" s="107"/>
      <c r="BG830" s="107"/>
      <c r="BH830" s="107"/>
      <c r="BI830" s="107"/>
      <c r="BJ830" s="107"/>
      <c r="BK830" s="107"/>
      <c r="BL830" s="107"/>
      <c r="BM830" s="107"/>
      <c r="BN830" s="107"/>
      <c r="BO830" s="107"/>
      <c r="BP830" s="107"/>
      <c r="BQ830" s="109"/>
      <c r="BR830" s="109"/>
      <c r="BS830" s="109"/>
      <c r="BT830" s="109"/>
      <c r="BU830" s="138"/>
    </row>
    <row r="831" spans="1:73" ht="38.25" customHeight="1" outlineLevel="2">
      <c r="A831" s="24" t="s">
        <v>882</v>
      </c>
      <c r="B831" s="19" t="s">
        <v>1632</v>
      </c>
      <c r="C831" s="20" t="s">
        <v>587</v>
      </c>
      <c r="D831" s="218" t="s">
        <v>1680</v>
      </c>
      <c r="E831" s="220" t="s">
        <v>2622</v>
      </c>
      <c r="F831" s="108">
        <f t="shared" si="138"/>
        <v>80.82904</v>
      </c>
      <c r="G831" s="106">
        <f t="shared" si="145"/>
        <v>40.81157</v>
      </c>
      <c r="H831" s="106">
        <f t="shared" si="146"/>
        <v>40.01747</v>
      </c>
      <c r="I831" s="107"/>
      <c r="J831" s="107"/>
      <c r="K831" s="107"/>
      <c r="L831" s="107"/>
      <c r="M831" s="107"/>
      <c r="N831" s="107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7"/>
      <c r="Z831" s="107"/>
      <c r="AA831" s="159"/>
      <c r="AB831" s="106"/>
      <c r="AC831" s="132"/>
      <c r="AD831" s="107"/>
      <c r="AE831" s="107"/>
      <c r="AF831" s="107"/>
      <c r="AG831" s="107"/>
      <c r="AH831" s="107"/>
      <c r="AI831" s="107"/>
      <c r="AJ831" s="108">
        <v>0</v>
      </c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7"/>
      <c r="AV831" s="107"/>
      <c r="AW831" s="107"/>
      <c r="AX831" s="107"/>
      <c r="AY831" s="106"/>
      <c r="AZ831" s="107"/>
      <c r="BA831" s="107"/>
      <c r="BB831" s="107"/>
      <c r="BC831" s="107">
        <v>40.81157</v>
      </c>
      <c r="BD831" s="107">
        <v>40.01747</v>
      </c>
      <c r="BE831" s="107"/>
      <c r="BF831" s="107"/>
      <c r="BG831" s="107"/>
      <c r="BH831" s="107"/>
      <c r="BI831" s="107"/>
      <c r="BJ831" s="107"/>
      <c r="BK831" s="107"/>
      <c r="BL831" s="107"/>
      <c r="BM831" s="107"/>
      <c r="BN831" s="107"/>
      <c r="BO831" s="107"/>
      <c r="BP831" s="107"/>
      <c r="BQ831" s="109"/>
      <c r="BR831" s="109"/>
      <c r="BS831" s="109"/>
      <c r="BT831" s="109"/>
      <c r="BU831" s="138"/>
    </row>
    <row r="832" spans="1:73" ht="38.25" customHeight="1" outlineLevel="2">
      <c r="A832" s="24" t="s">
        <v>882</v>
      </c>
      <c r="B832" s="22" t="s">
        <v>794</v>
      </c>
      <c r="C832" s="20" t="s">
        <v>587</v>
      </c>
      <c r="D832" s="230" t="s">
        <v>581</v>
      </c>
      <c r="E832" s="233" t="s">
        <v>2623</v>
      </c>
      <c r="F832" s="108">
        <f t="shared" si="138"/>
        <v>526.8989</v>
      </c>
      <c r="G832" s="106">
        <f t="shared" si="145"/>
        <v>248.90703</v>
      </c>
      <c r="H832" s="106">
        <f t="shared" si="146"/>
        <v>277.99187</v>
      </c>
      <c r="I832" s="107"/>
      <c r="J832" s="107"/>
      <c r="K832" s="107">
        <v>29.77454</v>
      </c>
      <c r="L832" s="107">
        <v>10.53676</v>
      </c>
      <c r="M832" s="107"/>
      <c r="N832" s="107"/>
      <c r="O832" s="106">
        <v>57.56334</v>
      </c>
      <c r="P832" s="106">
        <v>2.59623</v>
      </c>
      <c r="Q832" s="106"/>
      <c r="R832" s="106"/>
      <c r="S832" s="106"/>
      <c r="T832" s="106"/>
      <c r="U832" s="106"/>
      <c r="V832" s="106"/>
      <c r="W832" s="106"/>
      <c r="X832" s="106"/>
      <c r="Y832" s="107">
        <v>6.73427</v>
      </c>
      <c r="Z832" s="107">
        <v>31.944</v>
      </c>
      <c r="AA832" s="159">
        <v>61.16106</v>
      </c>
      <c r="AB832" s="106">
        <v>45.55681</v>
      </c>
      <c r="AC832" s="107"/>
      <c r="AD832" s="107"/>
      <c r="AE832" s="107"/>
      <c r="AF832" s="107"/>
      <c r="AG832" s="107"/>
      <c r="AH832" s="107"/>
      <c r="AI832" s="107"/>
      <c r="AJ832" s="108">
        <v>35.65388</v>
      </c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7"/>
      <c r="AV832" s="107"/>
      <c r="AW832" s="107"/>
      <c r="AX832" s="107"/>
      <c r="AY832" s="106"/>
      <c r="AZ832" s="107">
        <v>13.68</v>
      </c>
      <c r="BA832" s="107"/>
      <c r="BB832" s="107"/>
      <c r="BC832" s="107">
        <v>93.67382</v>
      </c>
      <c r="BD832" s="107">
        <v>91.85653</v>
      </c>
      <c r="BE832" s="107"/>
      <c r="BF832" s="107"/>
      <c r="BG832" s="107"/>
      <c r="BH832" s="107"/>
      <c r="BI832" s="107"/>
      <c r="BJ832" s="107">
        <v>46.16766</v>
      </c>
      <c r="BK832" s="107"/>
      <c r="BL832" s="107"/>
      <c r="BM832" s="107"/>
      <c r="BN832" s="107"/>
      <c r="BO832" s="107"/>
      <c r="BP832" s="107"/>
      <c r="BQ832" s="109"/>
      <c r="BR832" s="109"/>
      <c r="BS832" s="109"/>
      <c r="BT832" s="109"/>
      <c r="BU832" s="138"/>
    </row>
    <row r="833" spans="1:73" ht="38.25" customHeight="1" outlineLevel="2">
      <c r="A833" s="24" t="s">
        <v>882</v>
      </c>
      <c r="B833" s="19" t="s">
        <v>104</v>
      </c>
      <c r="C833" s="20" t="s">
        <v>587</v>
      </c>
      <c r="D833" s="218" t="s">
        <v>745</v>
      </c>
      <c r="E833" s="220" t="s">
        <v>2624</v>
      </c>
      <c r="F833" s="108">
        <f t="shared" si="138"/>
        <v>2220.20671</v>
      </c>
      <c r="G833" s="106">
        <f t="shared" si="145"/>
        <v>926.9009599999999</v>
      </c>
      <c r="H833" s="106">
        <f t="shared" si="146"/>
        <v>1293.30575</v>
      </c>
      <c r="I833" s="107"/>
      <c r="J833" s="107"/>
      <c r="K833" s="107">
        <v>395.50974</v>
      </c>
      <c r="L833" s="107"/>
      <c r="M833" s="107"/>
      <c r="N833" s="107"/>
      <c r="O833" s="106">
        <v>221.69561</v>
      </c>
      <c r="P833" s="106">
        <v>9.12354</v>
      </c>
      <c r="Q833" s="106"/>
      <c r="R833" s="106"/>
      <c r="S833" s="106"/>
      <c r="T833" s="106"/>
      <c r="U833" s="106"/>
      <c r="V833" s="106"/>
      <c r="W833" s="106"/>
      <c r="X833" s="106"/>
      <c r="Y833" s="107"/>
      <c r="Z833" s="107"/>
      <c r="AA833" s="159">
        <v>81.44224</v>
      </c>
      <c r="AB833" s="106">
        <v>67.741</v>
      </c>
      <c r="AC833" s="132"/>
      <c r="AD833" s="107"/>
      <c r="AE833" s="107"/>
      <c r="AF833" s="107"/>
      <c r="AG833" s="107"/>
      <c r="AH833" s="107"/>
      <c r="AI833" s="107"/>
      <c r="AJ833" s="108">
        <v>79.54908</v>
      </c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7"/>
      <c r="AV833" s="107"/>
      <c r="AW833" s="107"/>
      <c r="AX833" s="107"/>
      <c r="AY833" s="106"/>
      <c r="AZ833" s="107"/>
      <c r="BA833" s="107"/>
      <c r="BB833" s="107"/>
      <c r="BC833" s="107">
        <v>228.25337</v>
      </c>
      <c r="BD833" s="107">
        <v>223.84774</v>
      </c>
      <c r="BE833" s="107"/>
      <c r="BF833" s="107"/>
      <c r="BG833" s="107"/>
      <c r="BH833" s="107"/>
      <c r="BI833" s="107"/>
      <c r="BJ833" s="107">
        <v>913.04439</v>
      </c>
      <c r="BK833" s="107"/>
      <c r="BL833" s="107"/>
      <c r="BM833" s="107"/>
      <c r="BN833" s="107"/>
      <c r="BO833" s="107"/>
      <c r="BP833" s="107"/>
      <c r="BQ833" s="109"/>
      <c r="BR833" s="109"/>
      <c r="BS833" s="109"/>
      <c r="BT833" s="109"/>
      <c r="BU833" s="138"/>
    </row>
    <row r="834" spans="1:73" ht="38.25" customHeight="1" outlineLevel="2">
      <c r="A834" s="24" t="s">
        <v>882</v>
      </c>
      <c r="B834" s="19" t="s">
        <v>105</v>
      </c>
      <c r="C834" s="20" t="s">
        <v>587</v>
      </c>
      <c r="D834" s="218" t="s">
        <v>744</v>
      </c>
      <c r="E834" s="220" t="s">
        <v>2625</v>
      </c>
      <c r="F834" s="108">
        <f t="shared" si="138"/>
        <v>1425.98707</v>
      </c>
      <c r="G834" s="106">
        <f t="shared" si="145"/>
        <v>606.21176</v>
      </c>
      <c r="H834" s="106">
        <f t="shared" si="146"/>
        <v>819.7753099999999</v>
      </c>
      <c r="I834" s="107"/>
      <c r="J834" s="107"/>
      <c r="K834" s="107">
        <v>152.70786</v>
      </c>
      <c r="L834" s="107">
        <v>57.61806</v>
      </c>
      <c r="M834" s="107">
        <v>63.94121</v>
      </c>
      <c r="N834" s="107"/>
      <c r="O834" s="106">
        <v>60.62159</v>
      </c>
      <c r="P834" s="106">
        <v>2.74191</v>
      </c>
      <c r="Q834" s="106"/>
      <c r="R834" s="106"/>
      <c r="S834" s="106"/>
      <c r="T834" s="106"/>
      <c r="U834" s="106"/>
      <c r="V834" s="106"/>
      <c r="W834" s="106"/>
      <c r="X834" s="106"/>
      <c r="Y834" s="107"/>
      <c r="Z834" s="107"/>
      <c r="AA834" s="159">
        <v>138.83282</v>
      </c>
      <c r="AB834" s="106">
        <v>115.47661</v>
      </c>
      <c r="AC834" s="132"/>
      <c r="AD834" s="107"/>
      <c r="AE834" s="107"/>
      <c r="AF834" s="107"/>
      <c r="AG834" s="107"/>
      <c r="AH834" s="107"/>
      <c r="AI834" s="107"/>
      <c r="AJ834" s="108">
        <v>88.86583999999999</v>
      </c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7"/>
      <c r="AV834" s="107"/>
      <c r="AW834" s="107"/>
      <c r="AX834" s="107"/>
      <c r="AY834" s="106"/>
      <c r="AZ834" s="107"/>
      <c r="BA834" s="107"/>
      <c r="BB834" s="107"/>
      <c r="BC834" s="107">
        <v>254.04949</v>
      </c>
      <c r="BD834" s="107">
        <v>249.14342</v>
      </c>
      <c r="BE834" s="107"/>
      <c r="BF834" s="107"/>
      <c r="BG834" s="107"/>
      <c r="BH834" s="107"/>
      <c r="BI834" s="107"/>
      <c r="BJ834" s="107">
        <v>241.98826</v>
      </c>
      <c r="BK834" s="107"/>
      <c r="BL834" s="107"/>
      <c r="BM834" s="107"/>
      <c r="BN834" s="107"/>
      <c r="BO834" s="107"/>
      <c r="BP834" s="107"/>
      <c r="BQ834" s="109"/>
      <c r="BR834" s="109"/>
      <c r="BS834" s="109"/>
      <c r="BT834" s="109"/>
      <c r="BU834" s="138"/>
    </row>
    <row r="835" spans="1:73" ht="38.25" customHeight="1" outlineLevel="2">
      <c r="A835" s="24" t="s">
        <v>882</v>
      </c>
      <c r="B835" s="19" t="s">
        <v>1720</v>
      </c>
      <c r="C835" s="20" t="s">
        <v>587</v>
      </c>
      <c r="D835" s="218" t="s">
        <v>2842</v>
      </c>
      <c r="E835" s="220" t="s">
        <v>2626</v>
      </c>
      <c r="F835" s="108">
        <f t="shared" si="138"/>
        <v>21194.91525</v>
      </c>
      <c r="G835" s="106">
        <f t="shared" si="145"/>
        <v>21000</v>
      </c>
      <c r="H835" s="106">
        <f t="shared" si="146"/>
        <v>194.91525000000001</v>
      </c>
      <c r="I835" s="107"/>
      <c r="J835" s="107"/>
      <c r="K835" s="107"/>
      <c r="L835" s="107"/>
      <c r="M835" s="107"/>
      <c r="N835" s="107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7"/>
      <c r="Z835" s="107"/>
      <c r="AA835" s="159"/>
      <c r="AB835" s="106"/>
      <c r="AC835" s="132"/>
      <c r="AD835" s="107"/>
      <c r="AE835" s="107"/>
      <c r="AF835" s="107"/>
      <c r="AG835" s="107"/>
      <c r="AH835" s="107"/>
      <c r="AI835" s="107"/>
      <c r="AJ835" s="108">
        <v>0</v>
      </c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7"/>
      <c r="AV835" s="107"/>
      <c r="AW835" s="107"/>
      <c r="AX835" s="107"/>
      <c r="AY835" s="106"/>
      <c r="AZ835" s="107"/>
      <c r="BA835" s="107">
        <f>61.44068+133.47457</f>
        <v>194.91525000000001</v>
      </c>
      <c r="BB835" s="107"/>
      <c r="BC835" s="107"/>
      <c r="BD835" s="107"/>
      <c r="BE835" s="107"/>
      <c r="BF835" s="107"/>
      <c r="BG835" s="107"/>
      <c r="BH835" s="107"/>
      <c r="BI835" s="107"/>
      <c r="BJ835" s="107"/>
      <c r="BK835" s="107"/>
      <c r="BL835" s="107"/>
      <c r="BM835" s="107"/>
      <c r="BN835" s="107"/>
      <c r="BO835" s="107"/>
      <c r="BP835" s="107"/>
      <c r="BQ835" s="109"/>
      <c r="BR835" s="109"/>
      <c r="BS835" s="109"/>
      <c r="BT835" s="109">
        <v>21000</v>
      </c>
      <c r="BU835" s="138"/>
    </row>
    <row r="836" spans="1:73" ht="38.25" customHeight="1" outlineLevel="2">
      <c r="A836" s="24" t="s">
        <v>882</v>
      </c>
      <c r="B836" s="19" t="s">
        <v>1756</v>
      </c>
      <c r="C836" s="20" t="s">
        <v>587</v>
      </c>
      <c r="D836" s="218" t="s">
        <v>1814</v>
      </c>
      <c r="E836" s="220" t="s">
        <v>2627</v>
      </c>
      <c r="F836" s="108">
        <f t="shared" si="138"/>
        <v>21.81041</v>
      </c>
      <c r="G836" s="106">
        <f t="shared" si="145"/>
        <v>11.90676</v>
      </c>
      <c r="H836" s="106">
        <f t="shared" si="146"/>
        <v>9.90365</v>
      </c>
      <c r="I836" s="107"/>
      <c r="J836" s="107"/>
      <c r="K836" s="107"/>
      <c r="L836" s="107"/>
      <c r="M836" s="107"/>
      <c r="N836" s="107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7"/>
      <c r="Z836" s="107"/>
      <c r="AA836" s="159">
        <v>11.90676</v>
      </c>
      <c r="AB836" s="106">
        <v>9.90365</v>
      </c>
      <c r="AC836" s="132"/>
      <c r="AD836" s="107"/>
      <c r="AE836" s="107"/>
      <c r="AF836" s="107"/>
      <c r="AG836" s="107"/>
      <c r="AH836" s="107"/>
      <c r="AI836" s="107"/>
      <c r="AJ836" s="108">
        <v>0</v>
      </c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7"/>
      <c r="AV836" s="107"/>
      <c r="AW836" s="107"/>
      <c r="AX836" s="107"/>
      <c r="AY836" s="106"/>
      <c r="AZ836" s="107"/>
      <c r="BA836" s="107"/>
      <c r="BB836" s="107"/>
      <c r="BC836" s="107"/>
      <c r="BD836" s="107"/>
      <c r="BE836" s="107"/>
      <c r="BF836" s="107"/>
      <c r="BG836" s="107"/>
      <c r="BH836" s="107"/>
      <c r="BI836" s="107"/>
      <c r="BJ836" s="107"/>
      <c r="BK836" s="107"/>
      <c r="BL836" s="107"/>
      <c r="BM836" s="107"/>
      <c r="BN836" s="107"/>
      <c r="BO836" s="107"/>
      <c r="BP836" s="107"/>
      <c r="BQ836" s="109"/>
      <c r="BR836" s="109"/>
      <c r="BS836" s="109"/>
      <c r="BT836" s="109"/>
      <c r="BU836" s="138"/>
    </row>
    <row r="837" spans="1:73" ht="38.25" customHeight="1" outlineLevel="2">
      <c r="A837" s="24" t="s">
        <v>882</v>
      </c>
      <c r="B837" s="19" t="s">
        <v>100</v>
      </c>
      <c r="C837" s="20" t="s">
        <v>587</v>
      </c>
      <c r="D837" s="218" t="s">
        <v>365</v>
      </c>
      <c r="E837" s="220" t="s">
        <v>2628</v>
      </c>
      <c r="F837" s="108">
        <f t="shared" si="138"/>
        <v>866.1575</v>
      </c>
      <c r="G837" s="106">
        <f t="shared" si="145"/>
        <v>380.00982999999997</v>
      </c>
      <c r="H837" s="106">
        <f t="shared" si="146"/>
        <v>486.14767</v>
      </c>
      <c r="I837" s="107"/>
      <c r="J837" s="107"/>
      <c r="K837" s="107">
        <v>35.72306</v>
      </c>
      <c r="L837" s="107">
        <v>17.86152</v>
      </c>
      <c r="M837" s="107"/>
      <c r="N837" s="107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7"/>
      <c r="Z837" s="107"/>
      <c r="AA837" s="159">
        <v>111.62588</v>
      </c>
      <c r="AB837" s="106">
        <v>89.13289</v>
      </c>
      <c r="AC837" s="132"/>
      <c r="AD837" s="107"/>
      <c r="AE837" s="107"/>
      <c r="AF837" s="107"/>
      <c r="AG837" s="107"/>
      <c r="AH837" s="107"/>
      <c r="AI837" s="107"/>
      <c r="AJ837" s="108">
        <v>0</v>
      </c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7"/>
      <c r="AV837" s="107"/>
      <c r="AW837" s="107"/>
      <c r="AX837" s="107"/>
      <c r="AY837" s="106"/>
      <c r="AZ837" s="107">
        <v>123.66</v>
      </c>
      <c r="BA837" s="107"/>
      <c r="BB837" s="107"/>
      <c r="BC837" s="107">
        <v>232.66089</v>
      </c>
      <c r="BD837" s="107">
        <v>228.16037</v>
      </c>
      <c r="BE837" s="107"/>
      <c r="BF837" s="107"/>
      <c r="BG837" s="107"/>
      <c r="BH837" s="107"/>
      <c r="BI837" s="107"/>
      <c r="BJ837" s="107">
        <v>27.33289</v>
      </c>
      <c r="BK837" s="107"/>
      <c r="BL837" s="107"/>
      <c r="BM837" s="107"/>
      <c r="BN837" s="107"/>
      <c r="BO837" s="107"/>
      <c r="BP837" s="107"/>
      <c r="BQ837" s="109"/>
      <c r="BR837" s="109"/>
      <c r="BS837" s="109"/>
      <c r="BT837" s="109"/>
      <c r="BU837" s="138"/>
    </row>
    <row r="838" spans="1:73" ht="38.25" customHeight="1" outlineLevel="2">
      <c r="A838" s="24" t="s">
        <v>882</v>
      </c>
      <c r="B838" s="19" t="s">
        <v>102</v>
      </c>
      <c r="C838" s="20" t="s">
        <v>587</v>
      </c>
      <c r="D838" s="218" t="s">
        <v>829</v>
      </c>
      <c r="E838" s="220" t="s">
        <v>2629</v>
      </c>
      <c r="F838" s="108">
        <f t="shared" si="138"/>
        <v>4402.52848</v>
      </c>
      <c r="G838" s="106">
        <f t="shared" si="145"/>
        <v>953.6396299999999</v>
      </c>
      <c r="H838" s="106">
        <f t="shared" si="146"/>
        <v>3448.8888500000003</v>
      </c>
      <c r="I838" s="107"/>
      <c r="J838" s="107"/>
      <c r="K838" s="107">
        <v>350.42483</v>
      </c>
      <c r="L838" s="107">
        <v>169.02833</v>
      </c>
      <c r="M838" s="107"/>
      <c r="N838" s="107"/>
      <c r="O838" s="106">
        <f>65.35476</f>
        <v>65.35476</v>
      </c>
      <c r="P838" s="106">
        <v>30.54573</v>
      </c>
      <c r="Q838" s="106"/>
      <c r="R838" s="106"/>
      <c r="S838" s="106"/>
      <c r="T838" s="106"/>
      <c r="U838" s="106"/>
      <c r="V838" s="106"/>
      <c r="W838" s="106"/>
      <c r="X838" s="106"/>
      <c r="Y838" s="107"/>
      <c r="Z838" s="107"/>
      <c r="AA838" s="159">
        <v>261.94872</v>
      </c>
      <c r="AB838" s="106">
        <v>198.07309</v>
      </c>
      <c r="AC838" s="132"/>
      <c r="AD838" s="107"/>
      <c r="AE838" s="107"/>
      <c r="AF838" s="107"/>
      <c r="AG838" s="107"/>
      <c r="AH838" s="107"/>
      <c r="AI838" s="107"/>
      <c r="AJ838" s="108">
        <v>131.14788</v>
      </c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7"/>
      <c r="AV838" s="107"/>
      <c r="AW838" s="107"/>
      <c r="AX838" s="107"/>
      <c r="AY838" s="106"/>
      <c r="AZ838" s="107"/>
      <c r="BA838" s="107"/>
      <c r="BB838" s="107"/>
      <c r="BC838" s="107">
        <v>275.91132</v>
      </c>
      <c r="BD838" s="107">
        <v>270.56869</v>
      </c>
      <c r="BE838" s="107"/>
      <c r="BF838" s="107"/>
      <c r="BG838" s="107"/>
      <c r="BH838" s="107"/>
      <c r="BI838" s="107"/>
      <c r="BJ838" s="107">
        <v>2649.52513</v>
      </c>
      <c r="BK838" s="107"/>
      <c r="BL838" s="107"/>
      <c r="BM838" s="107"/>
      <c r="BN838" s="107"/>
      <c r="BO838" s="107"/>
      <c r="BP838" s="107"/>
      <c r="BQ838" s="109"/>
      <c r="BR838" s="109"/>
      <c r="BS838" s="109"/>
      <c r="BT838" s="109"/>
      <c r="BU838" s="138"/>
    </row>
    <row r="839" spans="1:73" ht="38.25" customHeight="1" outlineLevel="2">
      <c r="A839" s="60" t="s">
        <v>882</v>
      </c>
      <c r="B839" s="22" t="s">
        <v>468</v>
      </c>
      <c r="C839" s="20" t="s">
        <v>587</v>
      </c>
      <c r="D839" s="218">
        <v>2435001564</v>
      </c>
      <c r="E839" s="220" t="s">
        <v>2630</v>
      </c>
      <c r="F839" s="108">
        <f t="shared" si="138"/>
        <v>140.68086</v>
      </c>
      <c r="G839" s="106">
        <f t="shared" si="145"/>
        <v>36.94629</v>
      </c>
      <c r="H839" s="106">
        <f t="shared" si="146"/>
        <v>103.73456999999999</v>
      </c>
      <c r="I839" s="107"/>
      <c r="J839" s="107"/>
      <c r="K839" s="107"/>
      <c r="L839" s="107"/>
      <c r="M839" s="107"/>
      <c r="N839" s="107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7"/>
      <c r="Z839" s="107"/>
      <c r="AA839" s="159"/>
      <c r="AB839" s="106"/>
      <c r="AC839" s="132"/>
      <c r="AD839" s="107"/>
      <c r="AE839" s="107"/>
      <c r="AF839" s="107"/>
      <c r="AG839" s="107"/>
      <c r="AH839" s="107"/>
      <c r="AI839" s="107"/>
      <c r="AJ839" s="108">
        <v>0</v>
      </c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6"/>
      <c r="AZ839" s="107">
        <v>67.5</v>
      </c>
      <c r="BA839" s="107"/>
      <c r="BB839" s="107"/>
      <c r="BC839" s="107">
        <v>36.94629</v>
      </c>
      <c r="BD839" s="107">
        <v>36.23457</v>
      </c>
      <c r="BE839" s="107"/>
      <c r="BF839" s="107"/>
      <c r="BG839" s="107"/>
      <c r="BH839" s="107"/>
      <c r="BI839" s="107"/>
      <c r="BJ839" s="107"/>
      <c r="BK839" s="107"/>
      <c r="BL839" s="107"/>
      <c r="BM839" s="107"/>
      <c r="BN839" s="107"/>
      <c r="BO839" s="107"/>
      <c r="BP839" s="107"/>
      <c r="BQ839" s="109"/>
      <c r="BR839" s="109"/>
      <c r="BS839" s="109"/>
      <c r="BT839" s="109"/>
      <c r="BU839" s="138"/>
    </row>
    <row r="840" spans="1:73" ht="38.25" customHeight="1" outlineLevel="2">
      <c r="A840" s="24" t="s">
        <v>882</v>
      </c>
      <c r="B840" s="19" t="s">
        <v>103</v>
      </c>
      <c r="C840" s="20" t="s">
        <v>587</v>
      </c>
      <c r="D840" s="218" t="s">
        <v>366</v>
      </c>
      <c r="E840" s="275" t="s">
        <v>2631</v>
      </c>
      <c r="F840" s="108">
        <f t="shared" si="138"/>
        <v>2634.5845199999994</v>
      </c>
      <c r="G840" s="106">
        <f t="shared" si="145"/>
        <v>446.87969</v>
      </c>
      <c r="H840" s="106">
        <f t="shared" si="146"/>
        <v>2187.7048299999997</v>
      </c>
      <c r="I840" s="107"/>
      <c r="J840" s="107"/>
      <c r="K840" s="107">
        <v>229.34235</v>
      </c>
      <c r="L840" s="107">
        <v>114.67121</v>
      </c>
      <c r="M840" s="107"/>
      <c r="N840" s="107"/>
      <c r="O840" s="106">
        <v>19.59774</v>
      </c>
      <c r="P840" s="106">
        <v>0.8009</v>
      </c>
      <c r="Q840" s="106"/>
      <c r="R840" s="106"/>
      <c r="S840" s="106"/>
      <c r="T840" s="106"/>
      <c r="U840" s="106"/>
      <c r="V840" s="106"/>
      <c r="W840" s="106"/>
      <c r="X840" s="106"/>
      <c r="Y840" s="107"/>
      <c r="Z840" s="107"/>
      <c r="AA840" s="159">
        <v>88.11003</v>
      </c>
      <c r="AB840" s="106">
        <v>73.28704</v>
      </c>
      <c r="AC840" s="132"/>
      <c r="AD840" s="107"/>
      <c r="AE840" s="107"/>
      <c r="AF840" s="107"/>
      <c r="AG840" s="107"/>
      <c r="AH840" s="107"/>
      <c r="AI840" s="107"/>
      <c r="AJ840" s="108">
        <v>0</v>
      </c>
      <c r="AK840" s="107"/>
      <c r="AL840" s="107"/>
      <c r="AM840" s="107"/>
      <c r="AN840" s="107">
        <v>6.7007</v>
      </c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6">
        <v>21.38399</v>
      </c>
      <c r="AZ840" s="107">
        <v>76.32</v>
      </c>
      <c r="BA840" s="107"/>
      <c r="BB840" s="107"/>
      <c r="BC840" s="107">
        <v>109.82957</v>
      </c>
      <c r="BD840" s="107">
        <v>107.70676</v>
      </c>
      <c r="BE840" s="107"/>
      <c r="BF840" s="107"/>
      <c r="BG840" s="107"/>
      <c r="BH840" s="107"/>
      <c r="BI840" s="107"/>
      <c r="BJ840" s="107">
        <v>1786.83423</v>
      </c>
      <c r="BK840" s="107"/>
      <c r="BL840" s="107"/>
      <c r="BM840" s="107"/>
      <c r="BN840" s="107"/>
      <c r="BO840" s="107"/>
      <c r="BP840" s="107"/>
      <c r="BQ840" s="109"/>
      <c r="BR840" s="109"/>
      <c r="BS840" s="109"/>
      <c r="BT840" s="109"/>
      <c r="BU840" s="138"/>
    </row>
    <row r="841" spans="1:73" ht="38.25" customHeight="1" outlineLevel="2">
      <c r="A841" s="24" t="s">
        <v>882</v>
      </c>
      <c r="B841" s="3" t="s">
        <v>287</v>
      </c>
      <c r="C841" s="20" t="s">
        <v>587</v>
      </c>
      <c r="D841" s="230" t="s">
        <v>830</v>
      </c>
      <c r="E841" s="275" t="s">
        <v>2632</v>
      </c>
      <c r="F841" s="108">
        <f t="shared" si="138"/>
        <v>578.51746</v>
      </c>
      <c r="G841" s="106">
        <f t="shared" si="145"/>
        <v>286.80714</v>
      </c>
      <c r="H841" s="106">
        <f t="shared" si="146"/>
        <v>291.71032</v>
      </c>
      <c r="I841" s="107"/>
      <c r="J841" s="107"/>
      <c r="K841" s="107"/>
      <c r="L841" s="107"/>
      <c r="M841" s="107"/>
      <c r="N841" s="107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7"/>
      <c r="Z841" s="107"/>
      <c r="AA841" s="159">
        <v>133.95105</v>
      </c>
      <c r="AB841" s="106">
        <v>89.13289</v>
      </c>
      <c r="AC841" s="132"/>
      <c r="AD841" s="107"/>
      <c r="AE841" s="107"/>
      <c r="AF841" s="107"/>
      <c r="AG841" s="107"/>
      <c r="AH841" s="107"/>
      <c r="AI841" s="107"/>
      <c r="AJ841" s="108">
        <v>52.67424</v>
      </c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6"/>
      <c r="AZ841" s="107"/>
      <c r="BA841" s="107"/>
      <c r="BB841" s="107"/>
      <c r="BC841" s="107">
        <v>152.85609</v>
      </c>
      <c r="BD841" s="107">
        <v>149.90319</v>
      </c>
      <c r="BE841" s="107"/>
      <c r="BF841" s="107"/>
      <c r="BG841" s="107"/>
      <c r="BH841" s="107"/>
      <c r="BI841" s="107"/>
      <c r="BJ841" s="107"/>
      <c r="BK841" s="107"/>
      <c r="BL841" s="107"/>
      <c r="BM841" s="107"/>
      <c r="BN841" s="107"/>
      <c r="BO841" s="107"/>
      <c r="BP841" s="107"/>
      <c r="BQ841" s="109"/>
      <c r="BR841" s="109"/>
      <c r="BS841" s="109"/>
      <c r="BT841" s="109"/>
      <c r="BU841" s="138"/>
    </row>
    <row r="842" spans="1:73" ht="38.25" customHeight="1" outlineLevel="2">
      <c r="A842" s="60" t="s">
        <v>882</v>
      </c>
      <c r="B842" s="50" t="s">
        <v>916</v>
      </c>
      <c r="C842" s="20" t="s">
        <v>587</v>
      </c>
      <c r="D842" s="218">
        <v>2435000602</v>
      </c>
      <c r="E842" s="275" t="s">
        <v>2633</v>
      </c>
      <c r="F842" s="108">
        <f t="shared" si="138"/>
        <v>93.37595</v>
      </c>
      <c r="G842" s="106">
        <f t="shared" si="145"/>
        <v>50.10494</v>
      </c>
      <c r="H842" s="106">
        <f t="shared" si="146"/>
        <v>43.271010000000004</v>
      </c>
      <c r="I842" s="107"/>
      <c r="J842" s="107"/>
      <c r="K842" s="107"/>
      <c r="L842" s="107"/>
      <c r="M842" s="107"/>
      <c r="N842" s="107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7"/>
      <c r="Z842" s="107"/>
      <c r="AA842" s="159">
        <v>18.09828</v>
      </c>
      <c r="AB842" s="106">
        <v>11.88439</v>
      </c>
      <c r="AC842" s="132"/>
      <c r="AD842" s="107"/>
      <c r="AE842" s="107"/>
      <c r="AF842" s="107"/>
      <c r="AG842" s="107"/>
      <c r="AH842" s="107"/>
      <c r="AI842" s="107"/>
      <c r="AJ842" s="108">
        <v>0</v>
      </c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6"/>
      <c r="AZ842" s="107"/>
      <c r="BA842" s="107"/>
      <c r="BB842" s="107"/>
      <c r="BC842" s="107">
        <v>32.00666</v>
      </c>
      <c r="BD842" s="107">
        <v>31.38662</v>
      </c>
      <c r="BE842" s="107"/>
      <c r="BF842" s="107"/>
      <c r="BG842" s="107"/>
      <c r="BH842" s="107"/>
      <c r="BI842" s="107"/>
      <c r="BJ842" s="107"/>
      <c r="BK842" s="107"/>
      <c r="BL842" s="107"/>
      <c r="BM842" s="107"/>
      <c r="BN842" s="107"/>
      <c r="BO842" s="107"/>
      <c r="BP842" s="107"/>
      <c r="BQ842" s="109"/>
      <c r="BR842" s="109"/>
      <c r="BS842" s="109"/>
      <c r="BT842" s="109"/>
      <c r="BU842" s="138"/>
    </row>
    <row r="843" spans="1:73" ht="38.25" customHeight="1" outlineLevel="2">
      <c r="A843" s="35" t="s">
        <v>882</v>
      </c>
      <c r="B843" s="54" t="s">
        <v>1194</v>
      </c>
      <c r="C843" s="20" t="s">
        <v>934</v>
      </c>
      <c r="D843" s="218" t="s">
        <v>1195</v>
      </c>
      <c r="E843" s="276" t="s">
        <v>2036</v>
      </c>
      <c r="F843" s="108">
        <f t="shared" si="138"/>
        <v>4770.56253</v>
      </c>
      <c r="G843" s="106">
        <f t="shared" si="145"/>
        <v>0</v>
      </c>
      <c r="H843" s="106">
        <f t="shared" si="146"/>
        <v>4770.56253</v>
      </c>
      <c r="I843" s="107"/>
      <c r="J843" s="107"/>
      <c r="K843" s="107"/>
      <c r="L843" s="107"/>
      <c r="M843" s="107"/>
      <c r="N843" s="107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7"/>
      <c r="Z843" s="107"/>
      <c r="AA843" s="106"/>
      <c r="AB843" s="106"/>
      <c r="AC843" s="132"/>
      <c r="AD843" s="107"/>
      <c r="AE843" s="107"/>
      <c r="AF843" s="107"/>
      <c r="AG843" s="107"/>
      <c r="AH843" s="107"/>
      <c r="AI843" s="107"/>
      <c r="AJ843" s="108">
        <v>0</v>
      </c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7"/>
      <c r="AV843" s="107"/>
      <c r="AW843" s="107"/>
      <c r="AX843" s="107"/>
      <c r="AY843" s="106"/>
      <c r="AZ843" s="107"/>
      <c r="BA843" s="107">
        <f>811.965+3958.59753</f>
        <v>4770.56253</v>
      </c>
      <c r="BB843" s="107"/>
      <c r="BC843" s="107"/>
      <c r="BD843" s="107"/>
      <c r="BE843" s="107"/>
      <c r="BF843" s="107"/>
      <c r="BG843" s="107"/>
      <c r="BH843" s="107"/>
      <c r="BI843" s="107"/>
      <c r="BJ843" s="107"/>
      <c r="BK843" s="107"/>
      <c r="BL843" s="107"/>
      <c r="BM843" s="107"/>
      <c r="BN843" s="107"/>
      <c r="BO843" s="107"/>
      <c r="BP843" s="107"/>
      <c r="BQ843" s="109"/>
      <c r="BR843" s="109"/>
      <c r="BS843" s="109"/>
      <c r="BT843" s="109"/>
      <c r="BU843" s="138"/>
    </row>
    <row r="844" spans="1:73" ht="36" customHeight="1" outlineLevel="2">
      <c r="A844" s="35" t="s">
        <v>882</v>
      </c>
      <c r="B844" s="37" t="s">
        <v>1196</v>
      </c>
      <c r="C844" s="20" t="s">
        <v>934</v>
      </c>
      <c r="D844" s="218" t="s">
        <v>1197</v>
      </c>
      <c r="E844" s="275" t="s">
        <v>2634</v>
      </c>
      <c r="F844" s="108">
        <f t="shared" si="138"/>
        <v>1157.7305999999999</v>
      </c>
      <c r="G844" s="106">
        <f t="shared" si="145"/>
        <v>0</v>
      </c>
      <c r="H844" s="106">
        <f t="shared" si="146"/>
        <v>1157.7305999999999</v>
      </c>
      <c r="I844" s="107"/>
      <c r="J844" s="107"/>
      <c r="K844" s="107"/>
      <c r="L844" s="107"/>
      <c r="M844" s="107"/>
      <c r="N844" s="107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7"/>
      <c r="Z844" s="107"/>
      <c r="AA844" s="106"/>
      <c r="AB844" s="106"/>
      <c r="AC844" s="132"/>
      <c r="AD844" s="107"/>
      <c r="AE844" s="107"/>
      <c r="AF844" s="107"/>
      <c r="AG844" s="107"/>
      <c r="AH844" s="107"/>
      <c r="AI844" s="107"/>
      <c r="AJ844" s="108">
        <v>0</v>
      </c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6"/>
      <c r="AZ844" s="107"/>
      <c r="BA844" s="107"/>
      <c r="BB844" s="107"/>
      <c r="BC844" s="107"/>
      <c r="BD844" s="107"/>
      <c r="BE844" s="107"/>
      <c r="BF844" s="107"/>
      <c r="BG844" s="107"/>
      <c r="BH844" s="107"/>
      <c r="BI844" s="107"/>
      <c r="BJ844" s="107">
        <v>414.65093</v>
      </c>
      <c r="BK844" s="107"/>
      <c r="BL844" s="107"/>
      <c r="BM844" s="107"/>
      <c r="BN844" s="107">
        <v>743.07967</v>
      </c>
      <c r="BO844" s="107"/>
      <c r="BP844" s="107"/>
      <c r="BQ844" s="109"/>
      <c r="BR844" s="109"/>
      <c r="BS844" s="109"/>
      <c r="BT844" s="109"/>
      <c r="BU844" s="138"/>
    </row>
    <row r="845" spans="1:73" ht="33.75" customHeight="1" outlineLevel="2">
      <c r="A845" s="24" t="s">
        <v>882</v>
      </c>
      <c r="B845" s="37" t="s">
        <v>976</v>
      </c>
      <c r="C845" s="20" t="s">
        <v>1422</v>
      </c>
      <c r="D845" s="218" t="s">
        <v>1145</v>
      </c>
      <c r="E845" s="275" t="s">
        <v>2808</v>
      </c>
      <c r="F845" s="108">
        <f t="shared" si="138"/>
        <v>42.7625</v>
      </c>
      <c r="G845" s="106">
        <f t="shared" si="145"/>
        <v>0</v>
      </c>
      <c r="H845" s="106">
        <f t="shared" si="146"/>
        <v>42.7625</v>
      </c>
      <c r="I845" s="107"/>
      <c r="J845" s="107"/>
      <c r="K845" s="107"/>
      <c r="L845" s="107"/>
      <c r="M845" s="107"/>
      <c r="N845" s="107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7"/>
      <c r="Z845" s="107"/>
      <c r="AA845" s="159"/>
      <c r="AB845" s="106"/>
      <c r="AC845" s="132"/>
      <c r="AD845" s="107"/>
      <c r="AE845" s="107"/>
      <c r="AF845" s="107"/>
      <c r="AG845" s="107"/>
      <c r="AH845" s="107"/>
      <c r="AI845" s="107"/>
      <c r="AJ845" s="108">
        <v>0</v>
      </c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6"/>
      <c r="AZ845" s="107"/>
      <c r="BA845" s="107">
        <v>42.7625</v>
      </c>
      <c r="BB845" s="107"/>
      <c r="BC845" s="107"/>
      <c r="BD845" s="107"/>
      <c r="BE845" s="107"/>
      <c r="BF845" s="107"/>
      <c r="BG845" s="107"/>
      <c r="BH845" s="107"/>
      <c r="BI845" s="107"/>
      <c r="BJ845" s="107"/>
      <c r="BK845" s="107"/>
      <c r="BL845" s="107"/>
      <c r="BM845" s="107"/>
      <c r="BN845" s="107"/>
      <c r="BO845" s="107"/>
      <c r="BP845" s="107"/>
      <c r="BQ845" s="109"/>
      <c r="BR845" s="109"/>
      <c r="BS845" s="109"/>
      <c r="BT845" s="109"/>
      <c r="BU845" s="138"/>
    </row>
    <row r="846" spans="1:73" ht="41.25" outlineLevel="2" thickBot="1">
      <c r="A846" s="24" t="s">
        <v>882</v>
      </c>
      <c r="B846" s="37" t="s">
        <v>1159</v>
      </c>
      <c r="C846" s="20" t="s">
        <v>1338</v>
      </c>
      <c r="D846" s="218" t="s">
        <v>2635</v>
      </c>
      <c r="E846" s="203" t="s">
        <v>2036</v>
      </c>
      <c r="F846" s="108">
        <f t="shared" si="138"/>
        <v>788.2131400000001</v>
      </c>
      <c r="G846" s="106">
        <f t="shared" si="145"/>
        <v>0</v>
      </c>
      <c r="H846" s="106">
        <f t="shared" si="146"/>
        <v>788.2131400000001</v>
      </c>
      <c r="I846" s="107"/>
      <c r="J846" s="107"/>
      <c r="K846" s="107"/>
      <c r="L846" s="107"/>
      <c r="M846" s="107"/>
      <c r="N846" s="107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7"/>
      <c r="Z846" s="107"/>
      <c r="AA846" s="106"/>
      <c r="AB846" s="106"/>
      <c r="AC846" s="132"/>
      <c r="AD846" s="107"/>
      <c r="AE846" s="107"/>
      <c r="AF846" s="107"/>
      <c r="AG846" s="107"/>
      <c r="AH846" s="107"/>
      <c r="AI846" s="107"/>
      <c r="AJ846" s="108">
        <v>0</v>
      </c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6"/>
      <c r="AZ846" s="107"/>
      <c r="BA846" s="107">
        <f>314.5+473.71314</f>
        <v>788.2131400000001</v>
      </c>
      <c r="BB846" s="107"/>
      <c r="BC846" s="107"/>
      <c r="BD846" s="107"/>
      <c r="BE846" s="107"/>
      <c r="BF846" s="107"/>
      <c r="BG846" s="107"/>
      <c r="BH846" s="107"/>
      <c r="BI846" s="107"/>
      <c r="BJ846" s="107"/>
      <c r="BK846" s="107"/>
      <c r="BL846" s="107"/>
      <c r="BM846" s="107"/>
      <c r="BN846" s="107"/>
      <c r="BO846" s="107"/>
      <c r="BP846" s="107"/>
      <c r="BQ846" s="109"/>
      <c r="BR846" s="109"/>
      <c r="BS846" s="109"/>
      <c r="BT846" s="109"/>
      <c r="BU846" s="138"/>
    </row>
    <row r="847" spans="1:73" s="32" customFormat="1" ht="21" outlineLevel="1" thickBot="1">
      <c r="A847" s="40" t="s">
        <v>1198</v>
      </c>
      <c r="B847" s="41"/>
      <c r="C847" s="30" t="s">
        <v>1572</v>
      </c>
      <c r="D847" s="222"/>
      <c r="E847" s="223"/>
      <c r="F847" s="117">
        <f aca="true" t="shared" si="147" ref="F847:AV847">SUBTOTAL(9,F820:F846)</f>
        <v>322714.68311</v>
      </c>
      <c r="G847" s="117">
        <f t="shared" si="147"/>
        <v>113349.47651000002</v>
      </c>
      <c r="H847" s="117">
        <f t="shared" si="147"/>
        <v>209365.20660000003</v>
      </c>
      <c r="I847" s="117">
        <f t="shared" si="147"/>
        <v>54107.617620000005</v>
      </c>
      <c r="J847" s="117">
        <f t="shared" si="147"/>
        <v>41926.55291</v>
      </c>
      <c r="K847" s="117">
        <f t="shared" si="147"/>
        <v>9766.471860000001</v>
      </c>
      <c r="L847" s="117">
        <f t="shared" si="147"/>
        <v>2163.50135</v>
      </c>
      <c r="M847" s="117">
        <f t="shared" si="147"/>
        <v>1839.7773999999997</v>
      </c>
      <c r="N847" s="117">
        <f t="shared" si="147"/>
        <v>95795.13195</v>
      </c>
      <c r="O847" s="117">
        <f t="shared" si="147"/>
        <v>424.83304</v>
      </c>
      <c r="P847" s="117">
        <f t="shared" si="147"/>
        <v>45.80831</v>
      </c>
      <c r="Q847" s="117">
        <f t="shared" si="147"/>
        <v>0</v>
      </c>
      <c r="R847" s="117">
        <f t="shared" si="147"/>
        <v>0</v>
      </c>
      <c r="S847" s="117">
        <f t="shared" si="147"/>
        <v>551.84005</v>
      </c>
      <c r="T847" s="117">
        <f t="shared" si="147"/>
        <v>154.09632</v>
      </c>
      <c r="U847" s="117">
        <f t="shared" si="147"/>
        <v>54.35146</v>
      </c>
      <c r="V847" s="117">
        <f t="shared" si="147"/>
        <v>2.41066</v>
      </c>
      <c r="W847" s="117">
        <f t="shared" si="147"/>
        <v>1743.91631</v>
      </c>
      <c r="X847" s="117">
        <f t="shared" si="147"/>
        <v>910.44642</v>
      </c>
      <c r="Y847" s="117">
        <f t="shared" si="147"/>
        <v>219.17473000000004</v>
      </c>
      <c r="Z847" s="117">
        <f t="shared" si="147"/>
        <v>846.5159999999998</v>
      </c>
      <c r="AA847" s="117">
        <f t="shared" si="147"/>
        <v>5400.61342</v>
      </c>
      <c r="AB847" s="117">
        <f t="shared" si="147"/>
        <v>3579.57691</v>
      </c>
      <c r="AC847" s="117">
        <f t="shared" si="147"/>
        <v>152.08781</v>
      </c>
      <c r="AD847" s="117">
        <f t="shared" si="147"/>
        <v>79.40049</v>
      </c>
      <c r="AE847" s="117">
        <f t="shared" si="147"/>
        <v>0</v>
      </c>
      <c r="AF847" s="117">
        <f t="shared" si="147"/>
        <v>0</v>
      </c>
      <c r="AG847" s="117">
        <f t="shared" si="147"/>
        <v>432.3756</v>
      </c>
      <c r="AH847" s="117">
        <f t="shared" si="147"/>
        <v>0</v>
      </c>
      <c r="AI847" s="117">
        <f t="shared" si="147"/>
        <v>0</v>
      </c>
      <c r="AJ847" s="117">
        <f>SUBTOTAL(9,AJ820:AJ846)</f>
        <v>4336.23684</v>
      </c>
      <c r="AK847" s="117">
        <f t="shared" si="147"/>
        <v>330.0635</v>
      </c>
      <c r="AL847" s="117">
        <f t="shared" si="147"/>
        <v>0</v>
      </c>
      <c r="AM847" s="117">
        <f t="shared" si="147"/>
        <v>88.959</v>
      </c>
      <c r="AN847" s="117">
        <f t="shared" si="147"/>
        <v>12016.1734</v>
      </c>
      <c r="AO847" s="117">
        <f t="shared" si="147"/>
        <v>5533.2962</v>
      </c>
      <c r="AP847" s="117">
        <f t="shared" si="147"/>
        <v>1210.56</v>
      </c>
      <c r="AQ847" s="117">
        <f t="shared" si="147"/>
        <v>0</v>
      </c>
      <c r="AR847" s="117">
        <f t="shared" si="147"/>
        <v>0</v>
      </c>
      <c r="AS847" s="117">
        <f t="shared" si="147"/>
        <v>0</v>
      </c>
      <c r="AT847" s="117">
        <f t="shared" si="147"/>
        <v>0</v>
      </c>
      <c r="AU847" s="117">
        <f t="shared" si="147"/>
        <v>0</v>
      </c>
      <c r="AV847" s="117">
        <f t="shared" si="147"/>
        <v>0</v>
      </c>
      <c r="AW847" s="117">
        <f aca="true" t="shared" si="148" ref="AW847:BU847">SUBTOTAL(9,AW820:AW846)</f>
        <v>0</v>
      </c>
      <c r="AX847" s="117">
        <f t="shared" si="148"/>
        <v>2379.52</v>
      </c>
      <c r="AY847" s="117">
        <f t="shared" si="148"/>
        <v>5994.45271</v>
      </c>
      <c r="AZ847" s="117">
        <f t="shared" si="148"/>
        <v>281.15999999999997</v>
      </c>
      <c r="BA847" s="117">
        <f t="shared" si="148"/>
        <v>13118.036220000002</v>
      </c>
      <c r="BB847" s="117">
        <f t="shared" si="148"/>
        <v>0</v>
      </c>
      <c r="BC847" s="117">
        <f t="shared" si="148"/>
        <v>12015.754009999997</v>
      </c>
      <c r="BD847" s="117">
        <f t="shared" si="148"/>
        <v>11783.376199999997</v>
      </c>
      <c r="BE847" s="117">
        <f t="shared" si="148"/>
        <v>552.6805499999999</v>
      </c>
      <c r="BF847" s="117">
        <f t="shared" si="148"/>
        <v>0</v>
      </c>
      <c r="BG847" s="117">
        <f t="shared" si="148"/>
        <v>0</v>
      </c>
      <c r="BH847" s="117">
        <f t="shared" si="148"/>
        <v>0</v>
      </c>
      <c r="BI847" s="117">
        <f t="shared" si="148"/>
        <v>0</v>
      </c>
      <c r="BJ847" s="117">
        <f t="shared" si="148"/>
        <v>9473.27755</v>
      </c>
      <c r="BK847" s="117"/>
      <c r="BL847" s="117">
        <f t="shared" si="148"/>
        <v>0</v>
      </c>
      <c r="BM847" s="117">
        <f t="shared" si="148"/>
        <v>1661.55664</v>
      </c>
      <c r="BN847" s="117">
        <f t="shared" si="148"/>
        <v>743.07967</v>
      </c>
      <c r="BO847" s="117">
        <f t="shared" si="148"/>
        <v>0</v>
      </c>
      <c r="BP847" s="117">
        <f t="shared" si="148"/>
        <v>0</v>
      </c>
      <c r="BQ847" s="117">
        <f t="shared" si="148"/>
        <v>0</v>
      </c>
      <c r="BR847" s="117">
        <f t="shared" si="148"/>
        <v>0</v>
      </c>
      <c r="BS847" s="117">
        <f t="shared" si="148"/>
        <v>0</v>
      </c>
      <c r="BT847" s="117">
        <f t="shared" si="148"/>
        <v>21000</v>
      </c>
      <c r="BU847" s="117">
        <f t="shared" si="148"/>
        <v>0</v>
      </c>
    </row>
    <row r="848" spans="1:73" ht="32.25" customHeight="1" outlineLevel="2">
      <c r="A848" s="35" t="s">
        <v>1199</v>
      </c>
      <c r="B848" s="37" t="s">
        <v>940</v>
      </c>
      <c r="C848" s="20" t="s">
        <v>1496</v>
      </c>
      <c r="D848" s="218" t="s">
        <v>888</v>
      </c>
      <c r="E848" s="203" t="s">
        <v>2646</v>
      </c>
      <c r="F848" s="108">
        <f aca="true" t="shared" si="149" ref="F848:F908">G848+H848</f>
        <v>1392.00229</v>
      </c>
      <c r="G848" s="106">
        <f>I848+K848+O848+S848+U848+W848+Y848+AA848+AC848+AE848+AR848+AX848+BC848+BG848+BP848+BR848+BT848+AO848</f>
        <v>956.07266</v>
      </c>
      <c r="H848" s="106">
        <f>J848+L848+M848+N848+P848+Q848+R848+T848+V848+X848+Z848+AB848+AD848+AF848+AG848+AJ848+AL848+AS848+AT848+AU848+AV848+AW848+AY848+AZ848+BA848+BB848+BD848+BE848+BF848+BH848+BI848+BJ848+BL848+BM848+BN848+BO848+BQ848+BS848+BU848+AH848+AI848+AK848+AM848+AN848+AP848+AQ848+BK848</f>
        <v>435.92963</v>
      </c>
      <c r="I848" s="107"/>
      <c r="J848" s="107"/>
      <c r="K848" s="107">
        <v>508.23403</v>
      </c>
      <c r="L848" s="107">
        <v>90.90635</v>
      </c>
      <c r="M848" s="107"/>
      <c r="N848" s="107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7"/>
      <c r="Z848" s="107"/>
      <c r="AA848" s="159">
        <v>197.00231</v>
      </c>
      <c r="AB848" s="106">
        <v>99.03655</v>
      </c>
      <c r="AC848" s="107"/>
      <c r="AD848" s="107"/>
      <c r="AE848" s="107"/>
      <c r="AF848" s="107"/>
      <c r="AG848" s="107"/>
      <c r="AH848" s="107"/>
      <c r="AI848" s="107"/>
      <c r="AJ848" s="108">
        <v>0</v>
      </c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6"/>
      <c r="AZ848" s="107"/>
      <c r="BA848" s="107"/>
      <c r="BB848" s="107"/>
      <c r="BC848" s="107">
        <v>250.83632</v>
      </c>
      <c r="BD848" s="107">
        <v>245.98673</v>
      </c>
      <c r="BE848" s="107"/>
      <c r="BF848" s="107"/>
      <c r="BG848" s="107"/>
      <c r="BH848" s="107"/>
      <c r="BI848" s="107"/>
      <c r="BJ848" s="107"/>
      <c r="BK848" s="107"/>
      <c r="BL848" s="107"/>
      <c r="BM848" s="107"/>
      <c r="BN848" s="107"/>
      <c r="BO848" s="107"/>
      <c r="BP848" s="107"/>
      <c r="BQ848" s="109"/>
      <c r="BR848" s="109"/>
      <c r="BS848" s="109"/>
      <c r="BT848" s="109"/>
      <c r="BU848" s="138"/>
    </row>
    <row r="849" spans="1:73" ht="33" customHeight="1" outlineLevel="2">
      <c r="A849" s="35" t="s">
        <v>1199</v>
      </c>
      <c r="B849" s="37" t="s">
        <v>459</v>
      </c>
      <c r="C849" s="20" t="s">
        <v>1496</v>
      </c>
      <c r="D849" s="218" t="s">
        <v>309</v>
      </c>
      <c r="E849" s="203" t="s">
        <v>2647</v>
      </c>
      <c r="F849" s="108">
        <f t="shared" si="149"/>
        <v>15088.43719</v>
      </c>
      <c r="G849" s="106">
        <f aca="true" t="shared" si="150" ref="G849:G866">I849+K849+O849+S849+U849+W849+Y849+AA849+AC849+AE849+AR849+AX849+BC849+BG849+BP849+BR849+BT849+AO849</f>
        <v>4583.99438</v>
      </c>
      <c r="H849" s="106">
        <f aca="true" t="shared" si="151" ref="H849:H866">J849+L849+M849+N849+P849+Q849+R849+T849+V849+X849+Z849+AB849+AD849+AF849+AG849+AJ849+AL849+AS849+AT849+AU849+AV849+AW849+AY849+AZ849+BA849+BB849+BD849+BE849+BF849+BH849+BI849+BJ849+BL849+BM849+BN849+BO849+BQ849+BS849+BU849+AH849+AI849+AK849+AM849+AN849+AP849+AQ849+BK849</f>
        <v>10504.44281</v>
      </c>
      <c r="I849" s="107"/>
      <c r="J849" s="107"/>
      <c r="K849" s="107">
        <v>387.81543</v>
      </c>
      <c r="L849" s="107">
        <v>55.58032</v>
      </c>
      <c r="M849" s="107"/>
      <c r="N849" s="107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7">
        <v>146.7922</v>
      </c>
      <c r="Z849" s="107">
        <v>377.046</v>
      </c>
      <c r="AA849" s="159">
        <v>1201.46828</v>
      </c>
      <c r="AB849" s="106">
        <v>595.20964</v>
      </c>
      <c r="AC849" s="107"/>
      <c r="AD849" s="107"/>
      <c r="AE849" s="107"/>
      <c r="AF849" s="107"/>
      <c r="AG849" s="107"/>
      <c r="AH849" s="107"/>
      <c r="AI849" s="107"/>
      <c r="AJ849" s="108">
        <v>833.07672</v>
      </c>
      <c r="AK849" s="107"/>
      <c r="AL849" s="107"/>
      <c r="AM849" s="107"/>
      <c r="AN849" s="107"/>
      <c r="AO849" s="107">
        <v>844.1116</v>
      </c>
      <c r="AP849" s="107">
        <v>185.12</v>
      </c>
      <c r="AQ849" s="107"/>
      <c r="AR849" s="107"/>
      <c r="AS849" s="107"/>
      <c r="AT849" s="107"/>
      <c r="AU849" s="107"/>
      <c r="AV849" s="107">
        <v>2005.12</v>
      </c>
      <c r="AW849" s="107"/>
      <c r="AX849" s="107"/>
      <c r="AY849" s="106"/>
      <c r="AZ849" s="107">
        <v>279.99</v>
      </c>
      <c r="BA849" s="107">
        <v>400.83225</v>
      </c>
      <c r="BB849" s="107"/>
      <c r="BC849" s="107">
        <v>2003.80687</v>
      </c>
      <c r="BD849" s="107">
        <v>1965.04709</v>
      </c>
      <c r="BE849" s="107">
        <v>964.52528</v>
      </c>
      <c r="BF849" s="107"/>
      <c r="BG849" s="107"/>
      <c r="BH849" s="107"/>
      <c r="BI849" s="107"/>
      <c r="BJ849" s="107">
        <v>2371.2566</v>
      </c>
      <c r="BK849" s="107"/>
      <c r="BL849" s="107"/>
      <c r="BM849" s="107">
        <v>471.63891</v>
      </c>
      <c r="BN849" s="107"/>
      <c r="BO849" s="107"/>
      <c r="BP849" s="107"/>
      <c r="BQ849" s="109"/>
      <c r="BR849" s="109"/>
      <c r="BS849" s="109"/>
      <c r="BT849" s="109"/>
      <c r="BU849" s="138"/>
    </row>
    <row r="850" spans="1:73" ht="27.75" customHeight="1" outlineLevel="2">
      <c r="A850" s="35" t="s">
        <v>1199</v>
      </c>
      <c r="B850" s="37" t="s">
        <v>1041</v>
      </c>
      <c r="C850" s="20" t="s">
        <v>1496</v>
      </c>
      <c r="D850" s="218" t="s">
        <v>346</v>
      </c>
      <c r="E850" s="203" t="s">
        <v>2648</v>
      </c>
      <c r="F850" s="108">
        <f t="shared" si="149"/>
        <v>511.3728</v>
      </c>
      <c r="G850" s="106">
        <f t="shared" si="150"/>
        <v>306.53523</v>
      </c>
      <c r="H850" s="106">
        <f t="shared" si="151"/>
        <v>204.83757</v>
      </c>
      <c r="I850" s="107"/>
      <c r="J850" s="107"/>
      <c r="K850" s="107"/>
      <c r="L850" s="107"/>
      <c r="M850" s="107"/>
      <c r="N850" s="107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7"/>
      <c r="Z850" s="107"/>
      <c r="AA850" s="159">
        <v>198.64445</v>
      </c>
      <c r="AB850" s="106">
        <v>99.03655</v>
      </c>
      <c r="AC850" s="107"/>
      <c r="AD850" s="107"/>
      <c r="AE850" s="107"/>
      <c r="AF850" s="107"/>
      <c r="AG850" s="107"/>
      <c r="AH850" s="107"/>
      <c r="AI850" s="107"/>
      <c r="AJ850" s="108">
        <v>0</v>
      </c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7"/>
      <c r="AV850" s="107"/>
      <c r="AW850" s="107"/>
      <c r="AX850" s="107"/>
      <c r="AY850" s="106"/>
      <c r="AZ850" s="107"/>
      <c r="BA850" s="107"/>
      <c r="BB850" s="107"/>
      <c r="BC850" s="107">
        <v>107.89078</v>
      </c>
      <c r="BD850" s="107">
        <v>105.80102</v>
      </c>
      <c r="BE850" s="107"/>
      <c r="BF850" s="107"/>
      <c r="BG850" s="107"/>
      <c r="BH850" s="107"/>
      <c r="BI850" s="107"/>
      <c r="BJ850" s="107"/>
      <c r="BK850" s="107"/>
      <c r="BL850" s="107"/>
      <c r="BM850" s="107"/>
      <c r="BN850" s="107"/>
      <c r="BO850" s="107"/>
      <c r="BP850" s="107"/>
      <c r="BQ850" s="109"/>
      <c r="BR850" s="109"/>
      <c r="BS850" s="109"/>
      <c r="BT850" s="109"/>
      <c r="BU850" s="138"/>
    </row>
    <row r="851" spans="1:73" ht="34.5" customHeight="1" outlineLevel="2">
      <c r="A851" s="24" t="s">
        <v>1199</v>
      </c>
      <c r="B851" s="19" t="s">
        <v>629</v>
      </c>
      <c r="C851" s="20" t="s">
        <v>1496</v>
      </c>
      <c r="D851" s="218" t="s">
        <v>347</v>
      </c>
      <c r="E851" s="203" t="s">
        <v>2649</v>
      </c>
      <c r="F851" s="108">
        <f t="shared" si="149"/>
        <v>6802.97345</v>
      </c>
      <c r="G851" s="106">
        <f t="shared" si="150"/>
        <v>1825.15542</v>
      </c>
      <c r="H851" s="106">
        <f t="shared" si="151"/>
        <v>4977.81803</v>
      </c>
      <c r="I851" s="107"/>
      <c r="J851" s="107"/>
      <c r="K851" s="107">
        <v>551.99127</v>
      </c>
      <c r="L851" s="107"/>
      <c r="M851" s="107"/>
      <c r="N851" s="107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7">
        <v>30.4</v>
      </c>
      <c r="Z851" s="107">
        <v>79.86</v>
      </c>
      <c r="AA851" s="159">
        <v>845.98524</v>
      </c>
      <c r="AB851" s="106">
        <v>435.7608</v>
      </c>
      <c r="AC851" s="107"/>
      <c r="AD851" s="107"/>
      <c r="AE851" s="107"/>
      <c r="AF851" s="107"/>
      <c r="AG851" s="107"/>
      <c r="AH851" s="107"/>
      <c r="AI851" s="107"/>
      <c r="AJ851" s="108">
        <v>176.11852</v>
      </c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7"/>
      <c r="AV851" s="107"/>
      <c r="AW851" s="107"/>
      <c r="AX851" s="107"/>
      <c r="AY851" s="106"/>
      <c r="AZ851" s="107"/>
      <c r="BA851" s="107">
        <v>223.993</v>
      </c>
      <c r="BB851" s="107"/>
      <c r="BC851" s="107">
        <v>396.77891</v>
      </c>
      <c r="BD851" s="107">
        <v>389.10123</v>
      </c>
      <c r="BE851" s="107"/>
      <c r="BF851" s="107"/>
      <c r="BG851" s="107"/>
      <c r="BH851" s="107"/>
      <c r="BI851" s="107"/>
      <c r="BJ851" s="107">
        <v>3672.98448</v>
      </c>
      <c r="BK851" s="107"/>
      <c r="BL851" s="107"/>
      <c r="BM851" s="107"/>
      <c r="BN851" s="107"/>
      <c r="BO851" s="107"/>
      <c r="BP851" s="107"/>
      <c r="BQ851" s="109"/>
      <c r="BR851" s="109"/>
      <c r="BS851" s="109"/>
      <c r="BT851" s="109"/>
      <c r="BU851" s="138"/>
    </row>
    <row r="852" spans="1:73" ht="32.25" customHeight="1" outlineLevel="2">
      <c r="A852" s="24" t="s">
        <v>1199</v>
      </c>
      <c r="B852" s="19" t="s">
        <v>1235</v>
      </c>
      <c r="C852" s="20" t="s">
        <v>1496</v>
      </c>
      <c r="D852" s="218" t="s">
        <v>440</v>
      </c>
      <c r="E852" s="203" t="s">
        <v>2650</v>
      </c>
      <c r="F852" s="108">
        <f t="shared" si="149"/>
        <v>2120.0640000000003</v>
      </c>
      <c r="G852" s="106">
        <f t="shared" si="150"/>
        <v>1025.57526</v>
      </c>
      <c r="H852" s="106">
        <f t="shared" si="151"/>
        <v>1094.48874</v>
      </c>
      <c r="I852" s="107"/>
      <c r="J852" s="107"/>
      <c r="K852" s="107"/>
      <c r="L852" s="107"/>
      <c r="M852" s="107"/>
      <c r="N852" s="107"/>
      <c r="O852" s="106"/>
      <c r="P852" s="106"/>
      <c r="Q852" s="106">
        <v>54.63453</v>
      </c>
      <c r="R852" s="106"/>
      <c r="S852" s="106"/>
      <c r="T852" s="106"/>
      <c r="U852" s="106"/>
      <c r="V852" s="106"/>
      <c r="W852" s="106"/>
      <c r="X852" s="106"/>
      <c r="Y852" s="107">
        <v>22.8</v>
      </c>
      <c r="Z852" s="107">
        <v>59.895</v>
      </c>
      <c r="AA852" s="159">
        <v>631.05829</v>
      </c>
      <c r="AB852" s="106">
        <v>297.10964</v>
      </c>
      <c r="AC852" s="107"/>
      <c r="AD852" s="107"/>
      <c r="AE852" s="107"/>
      <c r="AF852" s="107"/>
      <c r="AG852" s="107"/>
      <c r="AH852" s="107"/>
      <c r="AI852" s="107"/>
      <c r="AJ852" s="108">
        <v>67.215</v>
      </c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7"/>
      <c r="AV852" s="107"/>
      <c r="AW852" s="107"/>
      <c r="AX852" s="107"/>
      <c r="AY852" s="106"/>
      <c r="AZ852" s="107"/>
      <c r="BA852" s="107">
        <v>211.30445</v>
      </c>
      <c r="BB852" s="107"/>
      <c r="BC852" s="107">
        <v>371.71697</v>
      </c>
      <c r="BD852" s="107">
        <v>364.52932</v>
      </c>
      <c r="BE852" s="107"/>
      <c r="BF852" s="107"/>
      <c r="BG852" s="107"/>
      <c r="BH852" s="107"/>
      <c r="BI852" s="107"/>
      <c r="BJ852" s="107">
        <v>39.8008</v>
      </c>
      <c r="BK852" s="107"/>
      <c r="BL852" s="107"/>
      <c r="BM852" s="107"/>
      <c r="BN852" s="107"/>
      <c r="BO852" s="107"/>
      <c r="BP852" s="107"/>
      <c r="BQ852" s="109"/>
      <c r="BR852" s="109"/>
      <c r="BS852" s="109"/>
      <c r="BT852" s="109"/>
      <c r="BU852" s="138"/>
    </row>
    <row r="853" spans="1:73" ht="27.75" customHeight="1" outlineLevel="2">
      <c r="A853" s="19" t="s">
        <v>1199</v>
      </c>
      <c r="B853" s="22" t="s">
        <v>917</v>
      </c>
      <c r="C853" s="20" t="s">
        <v>1496</v>
      </c>
      <c r="D853" s="218" t="s">
        <v>348</v>
      </c>
      <c r="E853" s="203" t="s">
        <v>2651</v>
      </c>
      <c r="F853" s="108">
        <f t="shared" si="149"/>
        <v>812.0551800000001</v>
      </c>
      <c r="G853" s="106">
        <f t="shared" si="150"/>
        <v>368.07811000000004</v>
      </c>
      <c r="H853" s="106">
        <f t="shared" si="151"/>
        <v>443.97707</v>
      </c>
      <c r="I853" s="107"/>
      <c r="J853" s="107"/>
      <c r="K853" s="107"/>
      <c r="L853" s="107"/>
      <c r="M853" s="107"/>
      <c r="N853" s="107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7"/>
      <c r="Z853" s="107"/>
      <c r="AA853" s="159">
        <v>232.89623</v>
      </c>
      <c r="AB853" s="106">
        <v>118.84385</v>
      </c>
      <c r="AC853" s="107"/>
      <c r="AD853" s="107"/>
      <c r="AE853" s="107"/>
      <c r="AF853" s="107"/>
      <c r="AG853" s="107"/>
      <c r="AH853" s="107"/>
      <c r="AI853" s="107"/>
      <c r="AJ853" s="108">
        <v>0</v>
      </c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7"/>
      <c r="AV853" s="107"/>
      <c r="AW853" s="107"/>
      <c r="AX853" s="107"/>
      <c r="AY853" s="106"/>
      <c r="AZ853" s="107"/>
      <c r="BA853" s="107">
        <v>172.10095</v>
      </c>
      <c r="BB853" s="107"/>
      <c r="BC853" s="107">
        <v>135.18188</v>
      </c>
      <c r="BD853" s="107">
        <v>132.56495</v>
      </c>
      <c r="BE853" s="107"/>
      <c r="BF853" s="107"/>
      <c r="BG853" s="107"/>
      <c r="BH853" s="107"/>
      <c r="BI853" s="107"/>
      <c r="BJ853" s="107">
        <v>20.46732</v>
      </c>
      <c r="BK853" s="107"/>
      <c r="BL853" s="107"/>
      <c r="BM853" s="107"/>
      <c r="BN853" s="107"/>
      <c r="BO853" s="107"/>
      <c r="BP853" s="107"/>
      <c r="BQ853" s="109"/>
      <c r="BR853" s="109"/>
      <c r="BS853" s="109"/>
      <c r="BT853" s="109"/>
      <c r="BU853" s="138"/>
    </row>
    <row r="854" spans="1:73" ht="32.25" customHeight="1" outlineLevel="2">
      <c r="A854" s="24" t="s">
        <v>1199</v>
      </c>
      <c r="B854" s="19" t="s">
        <v>33</v>
      </c>
      <c r="C854" s="20" t="s">
        <v>1496</v>
      </c>
      <c r="D854" s="218" t="s">
        <v>735</v>
      </c>
      <c r="E854" s="203" t="s">
        <v>2652</v>
      </c>
      <c r="F854" s="108">
        <f t="shared" si="149"/>
        <v>146.5312</v>
      </c>
      <c r="G854" s="106">
        <f t="shared" si="150"/>
        <v>73.9809</v>
      </c>
      <c r="H854" s="106">
        <f t="shared" si="151"/>
        <v>72.5503</v>
      </c>
      <c r="I854" s="107"/>
      <c r="J854" s="107"/>
      <c r="K854" s="107"/>
      <c r="L854" s="107"/>
      <c r="M854" s="107"/>
      <c r="N854" s="107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7"/>
      <c r="Z854" s="107"/>
      <c r="AA854" s="106"/>
      <c r="AB854" s="106"/>
      <c r="AC854" s="107"/>
      <c r="AD854" s="107"/>
      <c r="AE854" s="107"/>
      <c r="AF854" s="107"/>
      <c r="AG854" s="107"/>
      <c r="AH854" s="107"/>
      <c r="AI854" s="107"/>
      <c r="AJ854" s="108">
        <v>0</v>
      </c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6"/>
      <c r="AZ854" s="107"/>
      <c r="BA854" s="107"/>
      <c r="BB854" s="107"/>
      <c r="BC854" s="107">
        <v>73.9809</v>
      </c>
      <c r="BD854" s="107">
        <v>72.5503</v>
      </c>
      <c r="BE854" s="107"/>
      <c r="BF854" s="107"/>
      <c r="BG854" s="107"/>
      <c r="BH854" s="107"/>
      <c r="BI854" s="107"/>
      <c r="BJ854" s="107"/>
      <c r="BK854" s="107"/>
      <c r="BL854" s="107"/>
      <c r="BM854" s="107"/>
      <c r="BN854" s="107"/>
      <c r="BO854" s="107"/>
      <c r="BP854" s="107"/>
      <c r="BQ854" s="109"/>
      <c r="BR854" s="109"/>
      <c r="BS854" s="109"/>
      <c r="BT854" s="109"/>
      <c r="BU854" s="138"/>
    </row>
    <row r="855" spans="1:73" ht="42.75" customHeight="1" outlineLevel="2">
      <c r="A855" s="19" t="s">
        <v>1199</v>
      </c>
      <c r="B855" s="22" t="s">
        <v>403</v>
      </c>
      <c r="C855" s="20" t="s">
        <v>1496</v>
      </c>
      <c r="D855" s="225">
        <v>2436003420</v>
      </c>
      <c r="E855" s="203" t="s">
        <v>2653</v>
      </c>
      <c r="F855" s="108">
        <f t="shared" si="149"/>
        <v>70.07220000000001</v>
      </c>
      <c r="G855" s="106">
        <f t="shared" si="150"/>
        <v>35.37973</v>
      </c>
      <c r="H855" s="106">
        <f t="shared" si="151"/>
        <v>34.69247</v>
      </c>
      <c r="I855" s="107"/>
      <c r="J855" s="107"/>
      <c r="K855" s="107"/>
      <c r="L855" s="107"/>
      <c r="M855" s="107"/>
      <c r="N855" s="107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7"/>
      <c r="Z855" s="107"/>
      <c r="AA855" s="159"/>
      <c r="AB855" s="106"/>
      <c r="AC855" s="107"/>
      <c r="AD855" s="107"/>
      <c r="AE855" s="107"/>
      <c r="AF855" s="107"/>
      <c r="AG855" s="107"/>
      <c r="AH855" s="107"/>
      <c r="AI855" s="107"/>
      <c r="AJ855" s="108">
        <v>0</v>
      </c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6"/>
      <c r="AZ855" s="107"/>
      <c r="BA855" s="107"/>
      <c r="BB855" s="107"/>
      <c r="BC855" s="107">
        <v>35.37973</v>
      </c>
      <c r="BD855" s="107">
        <v>34.69247</v>
      </c>
      <c r="BE855" s="107"/>
      <c r="BF855" s="107"/>
      <c r="BG855" s="107"/>
      <c r="BH855" s="107"/>
      <c r="BI855" s="107"/>
      <c r="BJ855" s="107"/>
      <c r="BK855" s="107"/>
      <c r="BL855" s="107"/>
      <c r="BM855" s="107"/>
      <c r="BN855" s="107"/>
      <c r="BO855" s="107"/>
      <c r="BP855" s="107"/>
      <c r="BQ855" s="109"/>
      <c r="BR855" s="109"/>
      <c r="BS855" s="109"/>
      <c r="BT855" s="109"/>
      <c r="BU855" s="138"/>
    </row>
    <row r="856" spans="1:73" ht="38.25" customHeight="1" outlineLevel="2">
      <c r="A856" s="3" t="s">
        <v>1199</v>
      </c>
      <c r="B856" s="50" t="s">
        <v>962</v>
      </c>
      <c r="C856" s="4" t="s">
        <v>587</v>
      </c>
      <c r="D856" s="230" t="s">
        <v>686</v>
      </c>
      <c r="E856" s="233" t="s">
        <v>2636</v>
      </c>
      <c r="F856" s="108">
        <f t="shared" si="149"/>
        <v>28.92757</v>
      </c>
      <c r="G856" s="106">
        <f t="shared" si="150"/>
        <v>17.8963</v>
      </c>
      <c r="H856" s="106">
        <f t="shared" si="151"/>
        <v>11.03127</v>
      </c>
      <c r="I856" s="119"/>
      <c r="J856" s="119"/>
      <c r="K856" s="119"/>
      <c r="L856" s="119"/>
      <c r="M856" s="119"/>
      <c r="N856" s="119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19"/>
      <c r="Z856" s="119"/>
      <c r="AA856" s="163">
        <v>13.71661</v>
      </c>
      <c r="AB856" s="120">
        <v>6.93256</v>
      </c>
      <c r="AC856" s="119"/>
      <c r="AD856" s="119"/>
      <c r="AE856" s="119"/>
      <c r="AF856" s="119"/>
      <c r="AG856" s="119"/>
      <c r="AH856" s="119"/>
      <c r="AI856" s="119"/>
      <c r="AJ856" s="108">
        <v>0</v>
      </c>
      <c r="AK856" s="119"/>
      <c r="AL856" s="119"/>
      <c r="AM856" s="119"/>
      <c r="AN856" s="119"/>
      <c r="AO856" s="119"/>
      <c r="AP856" s="119"/>
      <c r="AQ856" s="119"/>
      <c r="AR856" s="119"/>
      <c r="AS856" s="119"/>
      <c r="AT856" s="119"/>
      <c r="AU856" s="119"/>
      <c r="AV856" s="119"/>
      <c r="AW856" s="119"/>
      <c r="AX856" s="119"/>
      <c r="AY856" s="120"/>
      <c r="AZ856" s="119"/>
      <c r="BA856" s="119"/>
      <c r="BB856" s="119"/>
      <c r="BC856" s="119">
        <v>4.17969</v>
      </c>
      <c r="BD856" s="119">
        <v>4.09871</v>
      </c>
      <c r="BE856" s="119"/>
      <c r="BF856" s="119"/>
      <c r="BG856" s="119"/>
      <c r="BH856" s="119"/>
      <c r="BI856" s="119"/>
      <c r="BJ856" s="119"/>
      <c r="BK856" s="119"/>
      <c r="BL856" s="119"/>
      <c r="BM856" s="119"/>
      <c r="BN856" s="119"/>
      <c r="BO856" s="119"/>
      <c r="BP856" s="119"/>
      <c r="BQ856" s="121"/>
      <c r="BR856" s="121"/>
      <c r="BS856" s="121"/>
      <c r="BT856" s="121"/>
      <c r="BU856" s="140"/>
    </row>
    <row r="857" spans="1:73" ht="38.25" customHeight="1" outlineLevel="2">
      <c r="A857" s="19" t="s">
        <v>1199</v>
      </c>
      <c r="B857" s="22" t="s">
        <v>963</v>
      </c>
      <c r="C857" s="20" t="s">
        <v>587</v>
      </c>
      <c r="D857" s="218" t="s">
        <v>687</v>
      </c>
      <c r="E857" s="220" t="s">
        <v>2637</v>
      </c>
      <c r="F857" s="108">
        <f t="shared" si="149"/>
        <v>1977.48931</v>
      </c>
      <c r="G857" s="106">
        <f t="shared" si="150"/>
        <v>403.77608</v>
      </c>
      <c r="H857" s="106">
        <f t="shared" si="151"/>
        <v>1573.71323</v>
      </c>
      <c r="I857" s="107"/>
      <c r="J857" s="107"/>
      <c r="K857" s="107">
        <v>158.57887</v>
      </c>
      <c r="L857" s="107"/>
      <c r="M857" s="107"/>
      <c r="N857" s="107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7"/>
      <c r="Z857" s="107"/>
      <c r="AA857" s="159">
        <v>162.94004</v>
      </c>
      <c r="AB857" s="106">
        <v>79.22924</v>
      </c>
      <c r="AC857" s="107"/>
      <c r="AD857" s="107"/>
      <c r="AE857" s="107"/>
      <c r="AF857" s="107"/>
      <c r="AG857" s="107"/>
      <c r="AH857" s="107"/>
      <c r="AI857" s="107"/>
      <c r="AJ857" s="108">
        <v>0</v>
      </c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7"/>
      <c r="AV857" s="107"/>
      <c r="AW857" s="107"/>
      <c r="AX857" s="107"/>
      <c r="AY857" s="106"/>
      <c r="AZ857" s="107"/>
      <c r="BA857" s="107">
        <v>85.764</v>
      </c>
      <c r="BB857" s="107"/>
      <c r="BC857" s="107">
        <v>82.25717</v>
      </c>
      <c r="BD857" s="107">
        <v>80.66563</v>
      </c>
      <c r="BE857" s="107"/>
      <c r="BF857" s="107"/>
      <c r="BG857" s="107"/>
      <c r="BH857" s="107"/>
      <c r="BI857" s="107"/>
      <c r="BJ857" s="107">
        <v>1328.05436</v>
      </c>
      <c r="BK857" s="107"/>
      <c r="BL857" s="107"/>
      <c r="BM857" s="107"/>
      <c r="BN857" s="107"/>
      <c r="BO857" s="107"/>
      <c r="BP857" s="107"/>
      <c r="BQ857" s="109"/>
      <c r="BR857" s="109"/>
      <c r="BS857" s="109"/>
      <c r="BT857" s="109"/>
      <c r="BU857" s="138"/>
    </row>
    <row r="858" spans="1:73" ht="38.25" customHeight="1" outlineLevel="2">
      <c r="A858" s="19" t="s">
        <v>1199</v>
      </c>
      <c r="B858" s="37" t="s">
        <v>965</v>
      </c>
      <c r="C858" s="20" t="s">
        <v>587</v>
      </c>
      <c r="D858" s="218" t="s">
        <v>646</v>
      </c>
      <c r="E858" s="220" t="s">
        <v>2638</v>
      </c>
      <c r="F858" s="108">
        <f t="shared" si="149"/>
        <v>185.51518</v>
      </c>
      <c r="G858" s="106">
        <f t="shared" si="150"/>
        <v>107.70072</v>
      </c>
      <c r="H858" s="106">
        <f t="shared" si="151"/>
        <v>77.81446</v>
      </c>
      <c r="I858" s="107"/>
      <c r="J858" s="107"/>
      <c r="K858" s="107"/>
      <c r="L858" s="107"/>
      <c r="M858" s="107"/>
      <c r="N858" s="107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7"/>
      <c r="Z858" s="107"/>
      <c r="AA858" s="159">
        <v>68.74527</v>
      </c>
      <c r="AB858" s="106">
        <v>39.61462</v>
      </c>
      <c r="AC858" s="107"/>
      <c r="AD858" s="107"/>
      <c r="AE858" s="107"/>
      <c r="AF858" s="107"/>
      <c r="AG858" s="107"/>
      <c r="AH858" s="107"/>
      <c r="AI858" s="107"/>
      <c r="AJ858" s="108">
        <v>0</v>
      </c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7"/>
      <c r="AV858" s="107"/>
      <c r="AW858" s="107"/>
      <c r="AX858" s="107"/>
      <c r="AY858" s="106"/>
      <c r="AZ858" s="107"/>
      <c r="BA858" s="107"/>
      <c r="BB858" s="107"/>
      <c r="BC858" s="107">
        <v>38.95545</v>
      </c>
      <c r="BD858" s="107">
        <v>38.19984</v>
      </c>
      <c r="BE858" s="107"/>
      <c r="BF858" s="107"/>
      <c r="BG858" s="107"/>
      <c r="BH858" s="107"/>
      <c r="BI858" s="107"/>
      <c r="BJ858" s="107"/>
      <c r="BK858" s="107"/>
      <c r="BL858" s="107"/>
      <c r="BM858" s="107"/>
      <c r="BN858" s="107"/>
      <c r="BO858" s="107"/>
      <c r="BP858" s="107"/>
      <c r="BQ858" s="109"/>
      <c r="BR858" s="109"/>
      <c r="BS858" s="109"/>
      <c r="BT858" s="109"/>
      <c r="BU858" s="138"/>
    </row>
    <row r="859" spans="1:73" ht="38.25" customHeight="1" outlineLevel="2">
      <c r="A859" s="35" t="s">
        <v>1199</v>
      </c>
      <c r="B859" s="37" t="s">
        <v>106</v>
      </c>
      <c r="C859" s="20" t="s">
        <v>587</v>
      </c>
      <c r="D859" s="218" t="s">
        <v>834</v>
      </c>
      <c r="E859" s="220" t="s">
        <v>2639</v>
      </c>
      <c r="F859" s="108">
        <f t="shared" si="149"/>
        <v>942.1683899999999</v>
      </c>
      <c r="G859" s="106">
        <f t="shared" si="150"/>
        <v>376.83506</v>
      </c>
      <c r="H859" s="106">
        <f t="shared" si="151"/>
        <v>565.3333299999999</v>
      </c>
      <c r="I859" s="107"/>
      <c r="J859" s="107"/>
      <c r="K859" s="107"/>
      <c r="L859" s="107"/>
      <c r="M859" s="107"/>
      <c r="N859" s="107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7">
        <v>8.41783</v>
      </c>
      <c r="Z859" s="107">
        <v>39.93</v>
      </c>
      <c r="AA859" s="159">
        <v>218.60058</v>
      </c>
      <c r="AB859" s="106">
        <v>108.9402</v>
      </c>
      <c r="AC859" s="107"/>
      <c r="AD859" s="107"/>
      <c r="AE859" s="107"/>
      <c r="AF859" s="107"/>
      <c r="AG859" s="107"/>
      <c r="AH859" s="107"/>
      <c r="AI859" s="107"/>
      <c r="AJ859" s="108">
        <v>22.58424</v>
      </c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7"/>
      <c r="AV859" s="107"/>
      <c r="AW859" s="107"/>
      <c r="AX859" s="107"/>
      <c r="AY859" s="106"/>
      <c r="AZ859" s="107"/>
      <c r="BA859" s="107">
        <v>187.88735</v>
      </c>
      <c r="BB859" s="107"/>
      <c r="BC859" s="107">
        <v>117.49665</v>
      </c>
      <c r="BD859" s="107">
        <v>115.22246</v>
      </c>
      <c r="BE859" s="107"/>
      <c r="BF859" s="107"/>
      <c r="BG859" s="107">
        <v>32.32</v>
      </c>
      <c r="BH859" s="107">
        <v>47.68</v>
      </c>
      <c r="BI859" s="107"/>
      <c r="BJ859" s="107">
        <v>43.08908</v>
      </c>
      <c r="BK859" s="107"/>
      <c r="BL859" s="107"/>
      <c r="BM859" s="107"/>
      <c r="BN859" s="107"/>
      <c r="BO859" s="107"/>
      <c r="BP859" s="107"/>
      <c r="BQ859" s="109"/>
      <c r="BR859" s="109"/>
      <c r="BS859" s="109"/>
      <c r="BT859" s="109"/>
      <c r="BU859" s="138"/>
    </row>
    <row r="860" spans="1:73" ht="38.25" customHeight="1" outlineLevel="2">
      <c r="A860" s="19" t="s">
        <v>1199</v>
      </c>
      <c r="B860" s="22" t="s">
        <v>404</v>
      </c>
      <c r="C860" s="20" t="s">
        <v>587</v>
      </c>
      <c r="D860" s="218" t="s">
        <v>184</v>
      </c>
      <c r="E860" s="220" t="s">
        <v>2640</v>
      </c>
      <c r="F860" s="108">
        <f t="shared" si="149"/>
        <v>107.49462000000001</v>
      </c>
      <c r="G860" s="106">
        <f t="shared" si="150"/>
        <v>64.70874</v>
      </c>
      <c r="H860" s="106">
        <f t="shared" si="151"/>
        <v>42.785880000000006</v>
      </c>
      <c r="I860" s="107"/>
      <c r="J860" s="107"/>
      <c r="K860" s="107"/>
      <c r="L860" s="107"/>
      <c r="M860" s="107"/>
      <c r="N860" s="107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7"/>
      <c r="Z860" s="107"/>
      <c r="AA860" s="159">
        <v>41.27677</v>
      </c>
      <c r="AB860" s="106">
        <v>19.80731</v>
      </c>
      <c r="AC860" s="107"/>
      <c r="AD860" s="107"/>
      <c r="AE860" s="107"/>
      <c r="AF860" s="107"/>
      <c r="AG860" s="107"/>
      <c r="AH860" s="107"/>
      <c r="AI860" s="107"/>
      <c r="AJ860" s="108">
        <v>0</v>
      </c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7"/>
      <c r="AV860" s="107"/>
      <c r="AW860" s="107"/>
      <c r="AX860" s="107"/>
      <c r="AY860" s="106"/>
      <c r="AZ860" s="107"/>
      <c r="BA860" s="107"/>
      <c r="BB860" s="107"/>
      <c r="BC860" s="107">
        <v>23.43197</v>
      </c>
      <c r="BD860" s="107">
        <v>22.97857</v>
      </c>
      <c r="BE860" s="107"/>
      <c r="BF860" s="107"/>
      <c r="BG860" s="107"/>
      <c r="BH860" s="107"/>
      <c r="BI860" s="107"/>
      <c r="BJ860" s="107"/>
      <c r="BK860" s="107"/>
      <c r="BL860" s="107"/>
      <c r="BM860" s="107"/>
      <c r="BN860" s="107"/>
      <c r="BO860" s="107"/>
      <c r="BP860" s="107"/>
      <c r="BQ860" s="109"/>
      <c r="BR860" s="109"/>
      <c r="BS860" s="109"/>
      <c r="BT860" s="109"/>
      <c r="BU860" s="138"/>
    </row>
    <row r="861" spans="1:73" ht="38.25" customHeight="1" outlineLevel="2">
      <c r="A861" s="19" t="s">
        <v>1199</v>
      </c>
      <c r="B861" s="37" t="s">
        <v>693</v>
      </c>
      <c r="C861" s="20" t="s">
        <v>587</v>
      </c>
      <c r="D861" s="239">
        <v>243601236649</v>
      </c>
      <c r="E861" s="242" t="s">
        <v>2641</v>
      </c>
      <c r="F861" s="108">
        <f t="shared" si="149"/>
        <v>1602.92608</v>
      </c>
      <c r="G861" s="106">
        <f t="shared" si="150"/>
        <v>1556.24248</v>
      </c>
      <c r="H861" s="106">
        <f t="shared" si="151"/>
        <v>46.6836</v>
      </c>
      <c r="I861" s="107"/>
      <c r="J861" s="107"/>
      <c r="K861" s="107"/>
      <c r="L861" s="107"/>
      <c r="M861" s="107"/>
      <c r="N861" s="107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7"/>
      <c r="Z861" s="107"/>
      <c r="AA861" s="159">
        <v>32.87528</v>
      </c>
      <c r="AB861" s="106">
        <v>23.76877</v>
      </c>
      <c r="AC861" s="107"/>
      <c r="AD861" s="107"/>
      <c r="AE861" s="107"/>
      <c r="AF861" s="107"/>
      <c r="AG861" s="107"/>
      <c r="AH861" s="107"/>
      <c r="AI861" s="107"/>
      <c r="AJ861" s="108">
        <v>0</v>
      </c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7"/>
      <c r="AV861" s="107"/>
      <c r="AW861" s="107"/>
      <c r="AX861" s="107"/>
      <c r="AY861" s="106"/>
      <c r="AZ861" s="107"/>
      <c r="BA861" s="107"/>
      <c r="BB861" s="107"/>
      <c r="BC861" s="107">
        <v>23.3672</v>
      </c>
      <c r="BD861" s="107">
        <v>22.91483</v>
      </c>
      <c r="BE861" s="107"/>
      <c r="BF861" s="107"/>
      <c r="BG861" s="107"/>
      <c r="BH861" s="107"/>
      <c r="BI861" s="107"/>
      <c r="BJ861" s="107"/>
      <c r="BK861" s="107"/>
      <c r="BL861" s="107"/>
      <c r="BM861" s="107"/>
      <c r="BN861" s="107"/>
      <c r="BO861" s="107"/>
      <c r="BP861" s="107"/>
      <c r="BQ861" s="109"/>
      <c r="BR861" s="109">
        <v>1500</v>
      </c>
      <c r="BS861" s="109"/>
      <c r="BT861" s="109"/>
      <c r="BU861" s="138"/>
    </row>
    <row r="862" spans="1:73" ht="38.25" customHeight="1" outlineLevel="2">
      <c r="A862" s="19" t="s">
        <v>1199</v>
      </c>
      <c r="B862" s="37" t="s">
        <v>1757</v>
      </c>
      <c r="C862" s="20" t="s">
        <v>587</v>
      </c>
      <c r="D862" s="239">
        <v>243600812917</v>
      </c>
      <c r="E862" s="242" t="s">
        <v>2642</v>
      </c>
      <c r="F862" s="108">
        <f t="shared" si="149"/>
        <v>16.62095</v>
      </c>
      <c r="G862" s="106">
        <f t="shared" si="150"/>
        <v>10.67876</v>
      </c>
      <c r="H862" s="106">
        <f t="shared" si="151"/>
        <v>5.94219</v>
      </c>
      <c r="I862" s="107"/>
      <c r="J862" s="107"/>
      <c r="K862" s="107"/>
      <c r="L862" s="107"/>
      <c r="M862" s="107"/>
      <c r="N862" s="107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7"/>
      <c r="Z862" s="107"/>
      <c r="AA862" s="159">
        <v>10.67876</v>
      </c>
      <c r="AB862" s="106">
        <v>5.94219</v>
      </c>
      <c r="AC862" s="107"/>
      <c r="AD862" s="107"/>
      <c r="AE862" s="107"/>
      <c r="AF862" s="107"/>
      <c r="AG862" s="107"/>
      <c r="AH862" s="107"/>
      <c r="AI862" s="107"/>
      <c r="AJ862" s="108">
        <v>0</v>
      </c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7"/>
      <c r="AV862" s="107"/>
      <c r="AW862" s="107"/>
      <c r="AX862" s="107"/>
      <c r="AY862" s="106"/>
      <c r="AZ862" s="107"/>
      <c r="BA862" s="107"/>
      <c r="BB862" s="107"/>
      <c r="BC862" s="107"/>
      <c r="BD862" s="107"/>
      <c r="BE862" s="107"/>
      <c r="BF862" s="107"/>
      <c r="BG862" s="107"/>
      <c r="BH862" s="107"/>
      <c r="BI862" s="107"/>
      <c r="BJ862" s="107"/>
      <c r="BK862" s="107"/>
      <c r="BL862" s="107"/>
      <c r="BM862" s="107"/>
      <c r="BN862" s="107"/>
      <c r="BO862" s="107"/>
      <c r="BP862" s="107"/>
      <c r="BQ862" s="109"/>
      <c r="BR862" s="109"/>
      <c r="BS862" s="109"/>
      <c r="BT862" s="109"/>
      <c r="BU862" s="138"/>
    </row>
    <row r="863" spans="1:73" ht="38.25" customHeight="1" outlineLevel="2">
      <c r="A863" s="35" t="s">
        <v>1199</v>
      </c>
      <c r="B863" s="37" t="s">
        <v>107</v>
      </c>
      <c r="C863" s="20" t="s">
        <v>587</v>
      </c>
      <c r="D863" s="218" t="s">
        <v>230</v>
      </c>
      <c r="E863" s="220" t="s">
        <v>2643</v>
      </c>
      <c r="F863" s="108">
        <f t="shared" si="149"/>
        <v>115.78925</v>
      </c>
      <c r="G863" s="106">
        <f t="shared" si="150"/>
        <v>67.00793999999999</v>
      </c>
      <c r="H863" s="106">
        <f t="shared" si="151"/>
        <v>48.781310000000005</v>
      </c>
      <c r="I863" s="107"/>
      <c r="J863" s="107"/>
      <c r="K863" s="107"/>
      <c r="L863" s="107"/>
      <c r="M863" s="107"/>
      <c r="N863" s="107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7"/>
      <c r="Z863" s="107"/>
      <c r="AA863" s="159">
        <v>41.50125</v>
      </c>
      <c r="AB863" s="106">
        <v>23.76877</v>
      </c>
      <c r="AC863" s="107"/>
      <c r="AD863" s="107"/>
      <c r="AE863" s="107"/>
      <c r="AF863" s="107"/>
      <c r="AG863" s="107"/>
      <c r="AH863" s="107"/>
      <c r="AI863" s="107"/>
      <c r="AJ863" s="108">
        <v>0</v>
      </c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7"/>
      <c r="AV863" s="107"/>
      <c r="AW863" s="107"/>
      <c r="AX863" s="107"/>
      <c r="AY863" s="106"/>
      <c r="AZ863" s="107"/>
      <c r="BA863" s="107"/>
      <c r="BB863" s="107"/>
      <c r="BC863" s="107">
        <v>25.50669</v>
      </c>
      <c r="BD863" s="107">
        <v>25.01254</v>
      </c>
      <c r="BE863" s="107"/>
      <c r="BF863" s="107"/>
      <c r="BG863" s="107"/>
      <c r="BH863" s="107"/>
      <c r="BI863" s="107"/>
      <c r="BJ863" s="107"/>
      <c r="BK863" s="107"/>
      <c r="BL863" s="107"/>
      <c r="BM863" s="107"/>
      <c r="BN863" s="107"/>
      <c r="BO863" s="107"/>
      <c r="BP863" s="107"/>
      <c r="BQ863" s="109"/>
      <c r="BR863" s="109"/>
      <c r="BS863" s="109"/>
      <c r="BT863" s="109"/>
      <c r="BU863" s="138"/>
    </row>
    <row r="864" spans="1:73" ht="24" customHeight="1" outlineLevel="2">
      <c r="A864" s="19" t="s">
        <v>1199</v>
      </c>
      <c r="B864" s="37" t="s">
        <v>964</v>
      </c>
      <c r="C864" s="20" t="s">
        <v>710</v>
      </c>
      <c r="D864" s="218" t="s">
        <v>345</v>
      </c>
      <c r="E864" s="220" t="s">
        <v>2644</v>
      </c>
      <c r="F864" s="108">
        <f t="shared" si="149"/>
        <v>253.89838</v>
      </c>
      <c r="G864" s="106">
        <f t="shared" si="150"/>
        <v>144.002</v>
      </c>
      <c r="H864" s="106">
        <f t="shared" si="151"/>
        <v>109.89638</v>
      </c>
      <c r="I864" s="107"/>
      <c r="J864" s="107"/>
      <c r="K864" s="107"/>
      <c r="L864" s="107"/>
      <c r="M864" s="107"/>
      <c r="N864" s="107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7"/>
      <c r="Z864" s="107"/>
      <c r="AA864" s="159">
        <v>82.4305</v>
      </c>
      <c r="AB864" s="106">
        <v>49.51827</v>
      </c>
      <c r="AC864" s="107"/>
      <c r="AD864" s="107"/>
      <c r="AE864" s="107"/>
      <c r="AF864" s="107"/>
      <c r="AG864" s="107"/>
      <c r="AH864" s="107"/>
      <c r="AI864" s="107"/>
      <c r="AJ864" s="108">
        <v>0</v>
      </c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7"/>
      <c r="AV864" s="107"/>
      <c r="AW864" s="107"/>
      <c r="AX864" s="107"/>
      <c r="AY864" s="106"/>
      <c r="AZ864" s="107"/>
      <c r="BA864" s="107"/>
      <c r="BB864" s="107"/>
      <c r="BC864" s="107">
        <v>61.5715</v>
      </c>
      <c r="BD864" s="107">
        <v>60.37811</v>
      </c>
      <c r="BE864" s="107"/>
      <c r="BF864" s="107"/>
      <c r="BG864" s="107"/>
      <c r="BH864" s="107"/>
      <c r="BI864" s="107"/>
      <c r="BJ864" s="107"/>
      <c r="BK864" s="107"/>
      <c r="BL864" s="107"/>
      <c r="BM864" s="107"/>
      <c r="BN864" s="107"/>
      <c r="BO864" s="107"/>
      <c r="BP864" s="107"/>
      <c r="BQ864" s="109"/>
      <c r="BR864" s="109"/>
      <c r="BS864" s="109"/>
      <c r="BT864" s="109"/>
      <c r="BU864" s="138"/>
    </row>
    <row r="865" spans="1:73" ht="39" customHeight="1" outlineLevel="2">
      <c r="A865" s="19" t="s">
        <v>1199</v>
      </c>
      <c r="B865" s="37" t="s">
        <v>966</v>
      </c>
      <c r="C865" s="20" t="s">
        <v>710</v>
      </c>
      <c r="D865" s="218" t="s">
        <v>647</v>
      </c>
      <c r="E865" s="220" t="s">
        <v>2645</v>
      </c>
      <c r="F865" s="108">
        <f t="shared" si="149"/>
        <v>74.55937</v>
      </c>
      <c r="G865" s="106">
        <f t="shared" si="150"/>
        <v>42.75902</v>
      </c>
      <c r="H865" s="106">
        <f t="shared" si="151"/>
        <v>31.80035</v>
      </c>
      <c r="I865" s="107"/>
      <c r="J865" s="107"/>
      <c r="K865" s="107"/>
      <c r="L865" s="107"/>
      <c r="M865" s="107"/>
      <c r="N865" s="107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7"/>
      <c r="Z865" s="107"/>
      <c r="AA865" s="159">
        <v>20.43002</v>
      </c>
      <c r="AB865" s="106">
        <v>9.90365</v>
      </c>
      <c r="AC865" s="107"/>
      <c r="AD865" s="107"/>
      <c r="AE865" s="107"/>
      <c r="AF865" s="107"/>
      <c r="AG865" s="107"/>
      <c r="AH865" s="107"/>
      <c r="AI865" s="107"/>
      <c r="AJ865" s="108">
        <v>0</v>
      </c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7"/>
      <c r="AV865" s="107"/>
      <c r="AW865" s="107"/>
      <c r="AX865" s="107"/>
      <c r="AY865" s="106"/>
      <c r="AZ865" s="107"/>
      <c r="BA865" s="107"/>
      <c r="BB865" s="107"/>
      <c r="BC865" s="107">
        <v>22.329</v>
      </c>
      <c r="BD865" s="107">
        <v>21.8967</v>
      </c>
      <c r="BE865" s="107"/>
      <c r="BF865" s="107"/>
      <c r="BG865" s="107"/>
      <c r="BH865" s="107"/>
      <c r="BI865" s="107"/>
      <c r="BJ865" s="107"/>
      <c r="BK865" s="107"/>
      <c r="BL865" s="107"/>
      <c r="BM865" s="107"/>
      <c r="BN865" s="107"/>
      <c r="BO865" s="107"/>
      <c r="BP865" s="107"/>
      <c r="BQ865" s="109"/>
      <c r="BR865" s="109"/>
      <c r="BS865" s="109"/>
      <c r="BT865" s="109"/>
      <c r="BU865" s="138"/>
    </row>
    <row r="866" spans="1:73" ht="29.25" customHeight="1" outlineLevel="2" thickBot="1">
      <c r="A866" s="38" t="s">
        <v>1199</v>
      </c>
      <c r="B866" s="39" t="s">
        <v>736</v>
      </c>
      <c r="C866" s="27" t="s">
        <v>934</v>
      </c>
      <c r="D866" s="219" t="s">
        <v>737</v>
      </c>
      <c r="E866" s="203" t="s">
        <v>2654</v>
      </c>
      <c r="F866" s="108">
        <f t="shared" si="149"/>
        <v>278.24235</v>
      </c>
      <c r="G866" s="106">
        <f t="shared" si="150"/>
        <v>0</v>
      </c>
      <c r="H866" s="106">
        <f t="shared" si="151"/>
        <v>278.24235</v>
      </c>
      <c r="I866" s="113"/>
      <c r="J866" s="113"/>
      <c r="K866" s="113"/>
      <c r="L866" s="113"/>
      <c r="M866" s="113"/>
      <c r="N866" s="113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3"/>
      <c r="Z866" s="113"/>
      <c r="AA866" s="114"/>
      <c r="AB866" s="114"/>
      <c r="AC866" s="113"/>
      <c r="AD866" s="113"/>
      <c r="AE866" s="113"/>
      <c r="AF866" s="113"/>
      <c r="AG866" s="113"/>
      <c r="AH866" s="113"/>
      <c r="AI866" s="113"/>
      <c r="AJ866" s="108">
        <v>0</v>
      </c>
      <c r="AK866" s="113"/>
      <c r="AL866" s="113"/>
      <c r="AM866" s="113"/>
      <c r="AN866" s="113"/>
      <c r="AO866" s="113"/>
      <c r="AP866" s="113"/>
      <c r="AQ866" s="113"/>
      <c r="AR866" s="113"/>
      <c r="AS866" s="113"/>
      <c r="AT866" s="113"/>
      <c r="AU866" s="113"/>
      <c r="AV866" s="113"/>
      <c r="AW866" s="113"/>
      <c r="AX866" s="113"/>
      <c r="AY866" s="114"/>
      <c r="AZ866" s="113"/>
      <c r="BA866" s="113"/>
      <c r="BB866" s="113"/>
      <c r="BC866" s="113"/>
      <c r="BD866" s="113"/>
      <c r="BE866" s="113"/>
      <c r="BF866" s="113"/>
      <c r="BG866" s="113"/>
      <c r="BH866" s="113"/>
      <c r="BI866" s="113"/>
      <c r="BJ866" s="113"/>
      <c r="BK866" s="113"/>
      <c r="BL866" s="113"/>
      <c r="BM866" s="113"/>
      <c r="BN866" s="113">
        <v>278.24235</v>
      </c>
      <c r="BO866" s="113"/>
      <c r="BP866" s="113"/>
      <c r="BQ866" s="115"/>
      <c r="BR866" s="115"/>
      <c r="BS866" s="115"/>
      <c r="BT866" s="115"/>
      <c r="BU866" s="139"/>
    </row>
    <row r="867" spans="1:73" s="32" customFormat="1" ht="21" outlineLevel="1" thickBot="1">
      <c r="A867" s="40" t="s">
        <v>738</v>
      </c>
      <c r="B867" s="41"/>
      <c r="C867" s="30" t="s">
        <v>1572</v>
      </c>
      <c r="D867" s="222"/>
      <c r="E867" s="223"/>
      <c r="F867" s="117">
        <f>SUBTOTAL(9,F848:F866)</f>
        <v>32527.139760000002</v>
      </c>
      <c r="G867" s="117">
        <f>SUBTOTAL(9,G848:G866)</f>
        <v>11966.378790000002</v>
      </c>
      <c r="H867" s="117">
        <f>SUBTOTAL(9,H848:H866)</f>
        <v>20560.760970000007</v>
      </c>
      <c r="I867" s="117">
        <f aca="true" t="shared" si="152" ref="I867:BJ867">SUBTOTAL(9,I848:I866)</f>
        <v>0</v>
      </c>
      <c r="J867" s="117">
        <f t="shared" si="152"/>
        <v>0</v>
      </c>
      <c r="K867" s="117">
        <f t="shared" si="152"/>
        <v>1606.6196</v>
      </c>
      <c r="L867" s="117">
        <f t="shared" si="152"/>
        <v>146.48667</v>
      </c>
      <c r="M867" s="117">
        <f t="shared" si="152"/>
        <v>0</v>
      </c>
      <c r="N867" s="117">
        <f t="shared" si="152"/>
        <v>0</v>
      </c>
      <c r="O867" s="117">
        <f t="shared" si="152"/>
        <v>0</v>
      </c>
      <c r="P867" s="117">
        <f t="shared" si="152"/>
        <v>0</v>
      </c>
      <c r="Q867" s="117">
        <f t="shared" si="152"/>
        <v>54.63453</v>
      </c>
      <c r="R867" s="117">
        <f t="shared" si="152"/>
        <v>0</v>
      </c>
      <c r="S867" s="117">
        <f t="shared" si="152"/>
        <v>0</v>
      </c>
      <c r="T867" s="117">
        <f t="shared" si="152"/>
        <v>0</v>
      </c>
      <c r="U867" s="117">
        <f t="shared" si="152"/>
        <v>0</v>
      </c>
      <c r="V867" s="117">
        <f t="shared" si="152"/>
        <v>0</v>
      </c>
      <c r="W867" s="117">
        <f t="shared" si="152"/>
        <v>0</v>
      </c>
      <c r="X867" s="117">
        <f t="shared" si="152"/>
        <v>0</v>
      </c>
      <c r="Y867" s="117">
        <f t="shared" si="152"/>
        <v>208.41003000000003</v>
      </c>
      <c r="Z867" s="117">
        <f t="shared" si="152"/>
        <v>556.731</v>
      </c>
      <c r="AA867" s="117">
        <f t="shared" si="152"/>
        <v>4000.249879999999</v>
      </c>
      <c r="AB867" s="117">
        <f t="shared" si="152"/>
        <v>2012.42261</v>
      </c>
      <c r="AC867" s="117">
        <f t="shared" si="152"/>
        <v>0</v>
      </c>
      <c r="AD867" s="117">
        <f t="shared" si="152"/>
        <v>0</v>
      </c>
      <c r="AE867" s="117">
        <f t="shared" si="152"/>
        <v>0</v>
      </c>
      <c r="AF867" s="117">
        <f t="shared" si="152"/>
        <v>0</v>
      </c>
      <c r="AG867" s="117">
        <f t="shared" si="152"/>
        <v>0</v>
      </c>
      <c r="AH867" s="117">
        <f t="shared" si="152"/>
        <v>0</v>
      </c>
      <c r="AI867" s="117">
        <f t="shared" si="152"/>
        <v>0</v>
      </c>
      <c r="AJ867" s="117">
        <f>SUBTOTAL(9,AJ848:AJ866)</f>
        <v>1098.9944799999998</v>
      </c>
      <c r="AK867" s="117">
        <f t="shared" si="152"/>
        <v>0</v>
      </c>
      <c r="AL867" s="117">
        <f t="shared" si="152"/>
        <v>0</v>
      </c>
      <c r="AM867" s="117">
        <f t="shared" si="152"/>
        <v>0</v>
      </c>
      <c r="AN867" s="117">
        <f t="shared" si="152"/>
        <v>0</v>
      </c>
      <c r="AO867" s="117">
        <f t="shared" si="152"/>
        <v>844.1116</v>
      </c>
      <c r="AP867" s="117">
        <f t="shared" si="152"/>
        <v>185.12</v>
      </c>
      <c r="AQ867" s="117">
        <f t="shared" si="152"/>
        <v>0</v>
      </c>
      <c r="AR867" s="117">
        <f t="shared" si="152"/>
        <v>0</v>
      </c>
      <c r="AS867" s="117">
        <f t="shared" si="152"/>
        <v>0</v>
      </c>
      <c r="AT867" s="117">
        <f t="shared" si="152"/>
        <v>0</v>
      </c>
      <c r="AU867" s="117">
        <f t="shared" si="152"/>
        <v>0</v>
      </c>
      <c r="AV867" s="117">
        <f t="shared" si="152"/>
        <v>2005.12</v>
      </c>
      <c r="AW867" s="117">
        <f t="shared" si="152"/>
        <v>0</v>
      </c>
      <c r="AX867" s="117">
        <f t="shared" si="152"/>
        <v>0</v>
      </c>
      <c r="AY867" s="117">
        <f t="shared" si="152"/>
        <v>0</v>
      </c>
      <c r="AZ867" s="117">
        <f t="shared" si="152"/>
        <v>279.99</v>
      </c>
      <c r="BA867" s="117">
        <f t="shared" si="152"/>
        <v>1281.8819999999998</v>
      </c>
      <c r="BB867" s="117">
        <f t="shared" si="152"/>
        <v>0</v>
      </c>
      <c r="BC867" s="117">
        <f t="shared" si="152"/>
        <v>3774.6676800000005</v>
      </c>
      <c r="BD867" s="117">
        <f t="shared" si="152"/>
        <v>3701.6405000000004</v>
      </c>
      <c r="BE867" s="117">
        <f t="shared" si="152"/>
        <v>964.52528</v>
      </c>
      <c r="BF867" s="117">
        <f t="shared" si="152"/>
        <v>0</v>
      </c>
      <c r="BG867" s="117">
        <f t="shared" si="152"/>
        <v>32.32</v>
      </c>
      <c r="BH867" s="117">
        <f t="shared" si="152"/>
        <v>47.68</v>
      </c>
      <c r="BI867" s="117">
        <f t="shared" si="152"/>
        <v>0</v>
      </c>
      <c r="BJ867" s="117">
        <f t="shared" si="152"/>
        <v>7475.652639999999</v>
      </c>
      <c r="BK867" s="117"/>
      <c r="BL867" s="117">
        <f aca="true" t="shared" si="153" ref="BL867:BU867">SUBTOTAL(9,BL848:BL866)</f>
        <v>0</v>
      </c>
      <c r="BM867" s="117">
        <f t="shared" si="153"/>
        <v>471.63891</v>
      </c>
      <c r="BN867" s="117">
        <f t="shared" si="153"/>
        <v>278.24235</v>
      </c>
      <c r="BO867" s="117">
        <f t="shared" si="153"/>
        <v>0</v>
      </c>
      <c r="BP867" s="117">
        <f t="shared" si="153"/>
        <v>0</v>
      </c>
      <c r="BQ867" s="117">
        <f t="shared" si="153"/>
        <v>0</v>
      </c>
      <c r="BR867" s="117">
        <f t="shared" si="153"/>
        <v>1500</v>
      </c>
      <c r="BS867" s="117">
        <f t="shared" si="153"/>
        <v>0</v>
      </c>
      <c r="BT867" s="117">
        <f t="shared" si="153"/>
        <v>0</v>
      </c>
      <c r="BU867" s="117">
        <f t="shared" si="153"/>
        <v>0</v>
      </c>
    </row>
    <row r="868" spans="1:73" ht="43.5" customHeight="1" outlineLevel="2" thickBot="1">
      <c r="A868" s="47" t="s">
        <v>739</v>
      </c>
      <c r="B868" s="48" t="s">
        <v>740</v>
      </c>
      <c r="C868" s="49" t="s">
        <v>1496</v>
      </c>
      <c r="D868" s="240" t="s">
        <v>665</v>
      </c>
      <c r="E868" s="203" t="s">
        <v>2655</v>
      </c>
      <c r="F868" s="108">
        <f t="shared" si="149"/>
        <v>285.34354</v>
      </c>
      <c r="G868" s="106">
        <f>I868+K868+O868+S868+U868+W868+Y868+AA868+AC868+AE868+AR868+AX868+BC868+BG868+BP868+BR868+BT868+AO868</f>
        <v>176.08319</v>
      </c>
      <c r="H868" s="106">
        <f>J868+L868+M868+N868+P868+Q868+R868+T868+V868+X868+Z868+AB868+AD868+AF868+AG868+AJ868+AL868+AS868+AT868+AU868+AV868+AW868+AY868+AZ868+BA868+BB868+BD868+BE868+BF868+BH868+BI868+BJ868+BL868+BM868+BN868+BO868+BQ868+BS868+BU868+AH868+AI868+AK868+AM868+AN868+AP868+AQ868+BK868</f>
        <v>109.26035</v>
      </c>
      <c r="I868" s="129"/>
      <c r="J868" s="129"/>
      <c r="K868" s="129"/>
      <c r="L868" s="129"/>
      <c r="M868" s="129"/>
      <c r="N868" s="129"/>
      <c r="O868" s="130"/>
      <c r="P868" s="130"/>
      <c r="Q868" s="130"/>
      <c r="R868" s="130"/>
      <c r="S868" s="130"/>
      <c r="T868" s="130"/>
      <c r="U868" s="130">
        <v>176.08319</v>
      </c>
      <c r="V868" s="130"/>
      <c r="W868" s="130"/>
      <c r="X868" s="130"/>
      <c r="Y868" s="129"/>
      <c r="Z868" s="129"/>
      <c r="AA868" s="130"/>
      <c r="AB868" s="130"/>
      <c r="AC868" s="129"/>
      <c r="AD868" s="129"/>
      <c r="AE868" s="129"/>
      <c r="AF868" s="129"/>
      <c r="AG868" s="129"/>
      <c r="AH868" s="129"/>
      <c r="AI868" s="129"/>
      <c r="AJ868" s="108">
        <v>0</v>
      </c>
      <c r="AK868" s="129"/>
      <c r="AL868" s="129"/>
      <c r="AM868" s="129"/>
      <c r="AN868" s="129"/>
      <c r="AO868" s="129"/>
      <c r="AP868" s="129"/>
      <c r="AQ868" s="129"/>
      <c r="AR868" s="129"/>
      <c r="AS868" s="129"/>
      <c r="AT868" s="129"/>
      <c r="AU868" s="129"/>
      <c r="AV868" s="129"/>
      <c r="AW868" s="129"/>
      <c r="AX868" s="129"/>
      <c r="AY868" s="130">
        <v>55.26035</v>
      </c>
      <c r="AZ868" s="129">
        <v>54</v>
      </c>
      <c r="BA868" s="129"/>
      <c r="BB868" s="129"/>
      <c r="BC868" s="129"/>
      <c r="BD868" s="129"/>
      <c r="BE868" s="129"/>
      <c r="BF868" s="129"/>
      <c r="BG868" s="129"/>
      <c r="BH868" s="129"/>
      <c r="BI868" s="129"/>
      <c r="BJ868" s="129"/>
      <c r="BK868" s="129"/>
      <c r="BL868" s="129"/>
      <c r="BM868" s="129"/>
      <c r="BN868" s="129"/>
      <c r="BO868" s="129"/>
      <c r="BP868" s="129"/>
      <c r="BQ868" s="131"/>
      <c r="BR868" s="131"/>
      <c r="BS868" s="131"/>
      <c r="BT868" s="131"/>
      <c r="BU868" s="142"/>
    </row>
    <row r="869" spans="1:73" s="32" customFormat="1" ht="21" outlineLevel="1" thickBot="1">
      <c r="A869" s="40" t="s">
        <v>72</v>
      </c>
      <c r="B869" s="41"/>
      <c r="C869" s="30" t="s">
        <v>1572</v>
      </c>
      <c r="D869" s="222"/>
      <c r="E869" s="223"/>
      <c r="F869" s="117">
        <f aca="true" t="shared" si="154" ref="F869:BM869">SUBTOTAL(9,F868:F868)</f>
        <v>285.34354</v>
      </c>
      <c r="G869" s="117">
        <f t="shared" si="154"/>
        <v>176.08319</v>
      </c>
      <c r="H869" s="117">
        <f t="shared" si="154"/>
        <v>109.26035</v>
      </c>
      <c r="I869" s="117">
        <f t="shared" si="154"/>
        <v>0</v>
      </c>
      <c r="J869" s="117">
        <f t="shared" si="154"/>
        <v>0</v>
      </c>
      <c r="K869" s="117">
        <f t="shared" si="154"/>
        <v>0</v>
      </c>
      <c r="L869" s="117">
        <f t="shared" si="154"/>
        <v>0</v>
      </c>
      <c r="M869" s="117">
        <f t="shared" si="154"/>
        <v>0</v>
      </c>
      <c r="N869" s="117">
        <f t="shared" si="154"/>
        <v>0</v>
      </c>
      <c r="O869" s="117">
        <f t="shared" si="154"/>
        <v>0</v>
      </c>
      <c r="P869" s="117">
        <f t="shared" si="154"/>
        <v>0</v>
      </c>
      <c r="Q869" s="117">
        <f t="shared" si="154"/>
        <v>0</v>
      </c>
      <c r="R869" s="117">
        <f t="shared" si="154"/>
        <v>0</v>
      </c>
      <c r="S869" s="117">
        <f t="shared" si="154"/>
        <v>0</v>
      </c>
      <c r="T869" s="117">
        <f t="shared" si="154"/>
        <v>0</v>
      </c>
      <c r="U869" s="117">
        <f t="shared" si="154"/>
        <v>176.08319</v>
      </c>
      <c r="V869" s="117">
        <f t="shared" si="154"/>
        <v>0</v>
      </c>
      <c r="W869" s="117">
        <f t="shared" si="154"/>
        <v>0</v>
      </c>
      <c r="X869" s="117">
        <f t="shared" si="154"/>
        <v>0</v>
      </c>
      <c r="Y869" s="117">
        <f t="shared" si="154"/>
        <v>0</v>
      </c>
      <c r="Z869" s="117">
        <f t="shared" si="154"/>
        <v>0</v>
      </c>
      <c r="AA869" s="117">
        <f t="shared" si="154"/>
        <v>0</v>
      </c>
      <c r="AB869" s="117">
        <f t="shared" si="154"/>
        <v>0</v>
      </c>
      <c r="AC869" s="117">
        <f t="shared" si="154"/>
        <v>0</v>
      </c>
      <c r="AD869" s="117">
        <f t="shared" si="154"/>
        <v>0</v>
      </c>
      <c r="AE869" s="117">
        <f t="shared" si="154"/>
        <v>0</v>
      </c>
      <c r="AF869" s="117">
        <f t="shared" si="154"/>
        <v>0</v>
      </c>
      <c r="AG869" s="117">
        <f t="shared" si="154"/>
        <v>0</v>
      </c>
      <c r="AH869" s="117">
        <f t="shared" si="154"/>
        <v>0</v>
      </c>
      <c r="AI869" s="117">
        <f t="shared" si="154"/>
        <v>0</v>
      </c>
      <c r="AJ869" s="117">
        <f t="shared" si="154"/>
        <v>0</v>
      </c>
      <c r="AK869" s="117"/>
      <c r="AL869" s="117">
        <f t="shared" si="154"/>
        <v>0</v>
      </c>
      <c r="AM869" s="117">
        <f t="shared" si="154"/>
        <v>0</v>
      </c>
      <c r="AN869" s="117">
        <f t="shared" si="154"/>
        <v>0</v>
      </c>
      <c r="AO869" s="117">
        <f t="shared" si="154"/>
        <v>0</v>
      </c>
      <c r="AP869" s="117">
        <f t="shared" si="154"/>
        <v>0</v>
      </c>
      <c r="AQ869" s="117">
        <f t="shared" si="154"/>
        <v>0</v>
      </c>
      <c r="AR869" s="117">
        <f t="shared" si="154"/>
        <v>0</v>
      </c>
      <c r="AS869" s="117">
        <f t="shared" si="154"/>
        <v>0</v>
      </c>
      <c r="AT869" s="117">
        <f t="shared" si="154"/>
        <v>0</v>
      </c>
      <c r="AU869" s="117">
        <f t="shared" si="154"/>
        <v>0</v>
      </c>
      <c r="AV869" s="117">
        <f t="shared" si="154"/>
        <v>0</v>
      </c>
      <c r="AW869" s="117">
        <f t="shared" si="154"/>
        <v>0</v>
      </c>
      <c r="AX869" s="117">
        <f t="shared" si="154"/>
        <v>0</v>
      </c>
      <c r="AY869" s="117">
        <f t="shared" si="154"/>
        <v>55.26035</v>
      </c>
      <c r="AZ869" s="117">
        <f t="shared" si="154"/>
        <v>54</v>
      </c>
      <c r="BA869" s="117">
        <f t="shared" si="154"/>
        <v>0</v>
      </c>
      <c r="BB869" s="117">
        <f t="shared" si="154"/>
        <v>0</v>
      </c>
      <c r="BC869" s="117">
        <f t="shared" si="154"/>
        <v>0</v>
      </c>
      <c r="BD869" s="117">
        <f t="shared" si="154"/>
        <v>0</v>
      </c>
      <c r="BE869" s="117">
        <f t="shared" si="154"/>
        <v>0</v>
      </c>
      <c r="BF869" s="117">
        <f t="shared" si="154"/>
        <v>0</v>
      </c>
      <c r="BG869" s="117">
        <f t="shared" si="154"/>
        <v>0</v>
      </c>
      <c r="BH869" s="117">
        <f t="shared" si="154"/>
        <v>0</v>
      </c>
      <c r="BI869" s="117">
        <f t="shared" si="154"/>
        <v>0</v>
      </c>
      <c r="BJ869" s="117">
        <f t="shared" si="154"/>
        <v>0</v>
      </c>
      <c r="BK869" s="117"/>
      <c r="BL869" s="117">
        <f t="shared" si="154"/>
        <v>0</v>
      </c>
      <c r="BM869" s="117">
        <f t="shared" si="154"/>
        <v>0</v>
      </c>
      <c r="BN869" s="117">
        <f aca="true" t="shared" si="155" ref="BN869:BU869">SUBTOTAL(9,BN868:BN868)</f>
        <v>0</v>
      </c>
      <c r="BO869" s="117">
        <f t="shared" si="155"/>
        <v>0</v>
      </c>
      <c r="BP869" s="117">
        <f t="shared" si="155"/>
        <v>0</v>
      </c>
      <c r="BQ869" s="117">
        <f t="shared" si="155"/>
        <v>0</v>
      </c>
      <c r="BR869" s="117">
        <f t="shared" si="155"/>
        <v>0</v>
      </c>
      <c r="BS869" s="117">
        <f t="shared" si="155"/>
        <v>0</v>
      </c>
      <c r="BT869" s="117">
        <f t="shared" si="155"/>
        <v>0</v>
      </c>
      <c r="BU869" s="117">
        <f t="shared" si="155"/>
        <v>0</v>
      </c>
    </row>
    <row r="870" spans="1:73" ht="38.25" customHeight="1" outlineLevel="2">
      <c r="A870" s="35" t="s">
        <v>73</v>
      </c>
      <c r="B870" s="37" t="s">
        <v>547</v>
      </c>
      <c r="C870" s="20" t="s">
        <v>1496</v>
      </c>
      <c r="D870" s="218" t="s">
        <v>1550</v>
      </c>
      <c r="E870" s="203" t="s">
        <v>2657</v>
      </c>
      <c r="F870" s="108">
        <f t="shared" si="149"/>
        <v>142.28532</v>
      </c>
      <c r="G870" s="106">
        <f>I870+K870+O870+S870+U870+W870+Y870+AA870+AC870+AE870+AR870+AX870+BC870+BG870+BP870+BR870+BT870+AO870</f>
        <v>71.84025</v>
      </c>
      <c r="H870" s="106">
        <f>J870+L870+M870+N870+P870+Q870+R870+T870+V870+X870+Z870+AB870+AD870+AF870+AG870+AJ870+AL870+AS870+AT870+AU870+AV870+AW870+AY870+AZ870+BA870+BB870+BD870+BE870+BF870+BH870+BI870+BJ870+BL870+BM870+BN870+BO870+BQ870+BS870+BU870+AH870+AI870+AK870+AM870+AN870+AP870+AQ870+BK870</f>
        <v>70.44507</v>
      </c>
      <c r="I870" s="107"/>
      <c r="J870" s="107"/>
      <c r="K870" s="107"/>
      <c r="L870" s="107"/>
      <c r="M870" s="107"/>
      <c r="N870" s="107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7"/>
      <c r="Z870" s="107"/>
      <c r="AA870" s="159"/>
      <c r="AB870" s="106"/>
      <c r="AC870" s="107"/>
      <c r="AD870" s="107"/>
      <c r="AE870" s="107"/>
      <c r="AF870" s="107"/>
      <c r="AG870" s="107"/>
      <c r="AH870" s="107"/>
      <c r="AI870" s="107"/>
      <c r="AJ870" s="108">
        <v>0</v>
      </c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/>
      <c r="AV870" s="107"/>
      <c r="AW870" s="107"/>
      <c r="AX870" s="107"/>
      <c r="AY870" s="106"/>
      <c r="AZ870" s="107"/>
      <c r="BA870" s="107"/>
      <c r="BB870" s="107"/>
      <c r="BC870" s="107">
        <v>71.84025</v>
      </c>
      <c r="BD870" s="107">
        <v>70.44507</v>
      </c>
      <c r="BE870" s="107"/>
      <c r="BF870" s="107"/>
      <c r="BG870" s="107"/>
      <c r="BH870" s="107"/>
      <c r="BI870" s="107"/>
      <c r="BJ870" s="107"/>
      <c r="BK870" s="107"/>
      <c r="BL870" s="107"/>
      <c r="BM870" s="107"/>
      <c r="BN870" s="107"/>
      <c r="BO870" s="107"/>
      <c r="BP870" s="107"/>
      <c r="BQ870" s="109"/>
      <c r="BR870" s="109"/>
      <c r="BS870" s="109"/>
      <c r="BT870" s="109"/>
      <c r="BU870" s="138"/>
    </row>
    <row r="871" spans="1:73" ht="37.5" customHeight="1" outlineLevel="2">
      <c r="A871" s="38" t="s">
        <v>73</v>
      </c>
      <c r="B871" s="39" t="s">
        <v>32</v>
      </c>
      <c r="C871" s="27" t="s">
        <v>1496</v>
      </c>
      <c r="D871" s="219" t="s">
        <v>789</v>
      </c>
      <c r="E871" s="203" t="s">
        <v>2656</v>
      </c>
      <c r="F871" s="108">
        <f t="shared" si="149"/>
        <v>1902.31806</v>
      </c>
      <c r="G871" s="106">
        <f aca="true" t="shared" si="156" ref="G871:G881">I871+K871+O871+S871+U871+W871+Y871+AA871+AC871+AE871+AR871+AX871+BC871+BG871+BP871+BR871+BT871+AO871</f>
        <v>957.99168</v>
      </c>
      <c r="H871" s="106">
        <f aca="true" t="shared" si="157" ref="H871:H881">J871+L871+M871+N871+P871+Q871+R871+T871+V871+X871+Z871+AB871+AD871+AF871+AG871+AJ871+AL871+AS871+AT871+AU871+AV871+AW871+AY871+AZ871+BA871+BB871+BD871+BE871+BF871+BH871+BI871+BJ871+BL871+BM871+BN871+BO871+BQ871+BS871+BU871+AH871+AI871+AK871+AM871+AN871+AP871+AQ871+BK871</f>
        <v>944.32638</v>
      </c>
      <c r="I871" s="113"/>
      <c r="J871" s="113"/>
      <c r="K871" s="113"/>
      <c r="L871" s="113"/>
      <c r="M871" s="113"/>
      <c r="N871" s="113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3"/>
      <c r="Z871" s="113"/>
      <c r="AA871" s="162">
        <v>202.20831</v>
      </c>
      <c r="AB871" s="114">
        <v>115.87276</v>
      </c>
      <c r="AC871" s="113"/>
      <c r="AD871" s="113"/>
      <c r="AE871" s="113"/>
      <c r="AF871" s="113"/>
      <c r="AG871" s="113">
        <v>27.3042</v>
      </c>
      <c r="AH871" s="113"/>
      <c r="AI871" s="113"/>
      <c r="AJ871" s="108">
        <v>0</v>
      </c>
      <c r="AK871" s="113"/>
      <c r="AL871" s="113"/>
      <c r="AM871" s="113"/>
      <c r="AN871" s="113"/>
      <c r="AO871" s="113"/>
      <c r="AP871" s="113"/>
      <c r="AQ871" s="113"/>
      <c r="AR871" s="113"/>
      <c r="AS871" s="113"/>
      <c r="AT871" s="113"/>
      <c r="AU871" s="113"/>
      <c r="AV871" s="113"/>
      <c r="AW871" s="113"/>
      <c r="AX871" s="113"/>
      <c r="AY871" s="114"/>
      <c r="AZ871" s="113"/>
      <c r="BA871" s="113"/>
      <c r="BB871" s="113"/>
      <c r="BC871" s="113">
        <v>755.78337</v>
      </c>
      <c r="BD871" s="113">
        <v>741.14942</v>
      </c>
      <c r="BE871" s="113">
        <v>60</v>
      </c>
      <c r="BF871" s="113"/>
      <c r="BG871" s="113"/>
      <c r="BH871" s="113"/>
      <c r="BI871" s="113"/>
      <c r="BJ871" s="113"/>
      <c r="BK871" s="113"/>
      <c r="BL871" s="113"/>
      <c r="BM871" s="113"/>
      <c r="BN871" s="113"/>
      <c r="BO871" s="113"/>
      <c r="BP871" s="113"/>
      <c r="BQ871" s="115"/>
      <c r="BR871" s="115"/>
      <c r="BS871" s="115"/>
      <c r="BT871" s="115"/>
      <c r="BU871" s="139"/>
    </row>
    <row r="872" spans="1:73" s="61" customFormat="1" ht="38.25" customHeight="1" outlineLevel="2">
      <c r="A872" s="35" t="s">
        <v>73</v>
      </c>
      <c r="B872" s="37" t="s">
        <v>442</v>
      </c>
      <c r="C872" s="20" t="s">
        <v>587</v>
      </c>
      <c r="D872" s="218" t="s">
        <v>85</v>
      </c>
      <c r="E872" s="220" t="s">
        <v>2658</v>
      </c>
      <c r="F872" s="108">
        <f t="shared" si="149"/>
        <v>4011.83301</v>
      </c>
      <c r="G872" s="106">
        <f t="shared" si="156"/>
        <v>909.95077</v>
      </c>
      <c r="H872" s="106">
        <f t="shared" si="157"/>
        <v>3101.88224</v>
      </c>
      <c r="I872" s="107"/>
      <c r="J872" s="107"/>
      <c r="K872" s="107"/>
      <c r="L872" s="107"/>
      <c r="M872" s="107">
        <v>69.46958</v>
      </c>
      <c r="N872" s="107"/>
      <c r="O872" s="106">
        <f>44.09616+6.56556+4.52055</f>
        <v>55.182269999999995</v>
      </c>
      <c r="P872" s="106">
        <f>1.80575+3.28279+2.26027</f>
        <v>7.34881</v>
      </c>
      <c r="Q872" s="106"/>
      <c r="R872" s="106"/>
      <c r="S872" s="106"/>
      <c r="T872" s="106"/>
      <c r="U872" s="106"/>
      <c r="V872" s="106"/>
      <c r="W872" s="106"/>
      <c r="X872" s="106"/>
      <c r="Y872" s="107"/>
      <c r="Z872" s="107"/>
      <c r="AA872" s="159">
        <v>374.34866</v>
      </c>
      <c r="AB872" s="106">
        <v>181.23688</v>
      </c>
      <c r="AC872" s="107"/>
      <c r="AD872" s="107"/>
      <c r="AE872" s="107"/>
      <c r="AF872" s="107"/>
      <c r="AG872" s="107"/>
      <c r="AH872" s="107"/>
      <c r="AI872" s="107"/>
      <c r="AJ872" s="108">
        <v>196.003</v>
      </c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7"/>
      <c r="AV872" s="107"/>
      <c r="AW872" s="107"/>
      <c r="AX872" s="107"/>
      <c r="AY872" s="106"/>
      <c r="AZ872" s="107">
        <v>31.131</v>
      </c>
      <c r="BA872" s="107"/>
      <c r="BB872" s="107"/>
      <c r="BC872" s="107">
        <v>480.41984</v>
      </c>
      <c r="BD872" s="107">
        <v>471.13228</v>
      </c>
      <c r="BE872" s="107"/>
      <c r="BF872" s="107"/>
      <c r="BG872" s="107"/>
      <c r="BH872" s="107"/>
      <c r="BI872" s="107"/>
      <c r="BJ872" s="107">
        <v>2145.56069</v>
      </c>
      <c r="BK872" s="107"/>
      <c r="BL872" s="107"/>
      <c r="BM872" s="107"/>
      <c r="BN872" s="107"/>
      <c r="BO872" s="107"/>
      <c r="BP872" s="107"/>
      <c r="BQ872" s="109"/>
      <c r="BR872" s="109"/>
      <c r="BS872" s="109"/>
      <c r="BT872" s="109"/>
      <c r="BU872" s="138"/>
    </row>
    <row r="873" spans="1:73" ht="38.25" customHeight="1" outlineLevel="2">
      <c r="A873" s="3" t="s">
        <v>73</v>
      </c>
      <c r="B873" s="50" t="s">
        <v>1141</v>
      </c>
      <c r="C873" s="4" t="s">
        <v>587</v>
      </c>
      <c r="D873" s="230" t="s">
        <v>180</v>
      </c>
      <c r="E873" s="233" t="s">
        <v>2659</v>
      </c>
      <c r="F873" s="108">
        <f t="shared" si="149"/>
        <v>16.27571</v>
      </c>
      <c r="G873" s="106">
        <f t="shared" si="156"/>
        <v>8.21735</v>
      </c>
      <c r="H873" s="106">
        <f t="shared" si="157"/>
        <v>8.05836</v>
      </c>
      <c r="I873" s="119"/>
      <c r="J873" s="119"/>
      <c r="K873" s="119"/>
      <c r="L873" s="119"/>
      <c r="M873" s="119"/>
      <c r="N873" s="119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19"/>
      <c r="Z873" s="119"/>
      <c r="AA873" s="120"/>
      <c r="AB873" s="120"/>
      <c r="AC873" s="119"/>
      <c r="AD873" s="119"/>
      <c r="AE873" s="119"/>
      <c r="AF873" s="119"/>
      <c r="AG873" s="119"/>
      <c r="AH873" s="119"/>
      <c r="AI873" s="119"/>
      <c r="AJ873" s="108">
        <v>0</v>
      </c>
      <c r="AK873" s="119"/>
      <c r="AL873" s="119"/>
      <c r="AM873" s="119"/>
      <c r="AN873" s="119"/>
      <c r="AO873" s="119"/>
      <c r="AP873" s="119"/>
      <c r="AQ873" s="119"/>
      <c r="AR873" s="119"/>
      <c r="AS873" s="119"/>
      <c r="AT873" s="119"/>
      <c r="AU873" s="119"/>
      <c r="AV873" s="119"/>
      <c r="AW873" s="119"/>
      <c r="AX873" s="119"/>
      <c r="AY873" s="120"/>
      <c r="AZ873" s="119"/>
      <c r="BA873" s="119"/>
      <c r="BB873" s="119"/>
      <c r="BC873" s="119">
        <v>8.21735</v>
      </c>
      <c r="BD873" s="119">
        <v>8.05836</v>
      </c>
      <c r="BE873" s="119"/>
      <c r="BF873" s="119"/>
      <c r="BG873" s="119"/>
      <c r="BH873" s="119"/>
      <c r="BI873" s="119"/>
      <c r="BJ873" s="119"/>
      <c r="BK873" s="119"/>
      <c r="BL873" s="119"/>
      <c r="BM873" s="119"/>
      <c r="BN873" s="119"/>
      <c r="BO873" s="119"/>
      <c r="BP873" s="119"/>
      <c r="BQ873" s="121"/>
      <c r="BR873" s="121"/>
      <c r="BS873" s="121"/>
      <c r="BT873" s="121"/>
      <c r="BU873" s="140"/>
    </row>
    <row r="874" spans="1:73" ht="38.25" customHeight="1" outlineLevel="2">
      <c r="A874" s="19" t="s">
        <v>73</v>
      </c>
      <c r="B874" s="22" t="s">
        <v>447</v>
      </c>
      <c r="C874" s="20" t="s">
        <v>587</v>
      </c>
      <c r="D874" s="218" t="s">
        <v>181</v>
      </c>
      <c r="E874" s="220" t="s">
        <v>2660</v>
      </c>
      <c r="F874" s="108">
        <f t="shared" si="149"/>
        <v>196.83691</v>
      </c>
      <c r="G874" s="106">
        <f t="shared" si="156"/>
        <v>20.136960000000002</v>
      </c>
      <c r="H874" s="106">
        <f t="shared" si="157"/>
        <v>176.69995</v>
      </c>
      <c r="I874" s="107"/>
      <c r="J874" s="107"/>
      <c r="K874" s="107"/>
      <c r="L874" s="107"/>
      <c r="M874" s="107"/>
      <c r="N874" s="107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7"/>
      <c r="Z874" s="107"/>
      <c r="AA874" s="106">
        <v>7.73939</v>
      </c>
      <c r="AB874" s="106">
        <v>3.96146</v>
      </c>
      <c r="AC874" s="107"/>
      <c r="AD874" s="107"/>
      <c r="AE874" s="107"/>
      <c r="AF874" s="107"/>
      <c r="AG874" s="107"/>
      <c r="AH874" s="107"/>
      <c r="AI874" s="107"/>
      <c r="AJ874" s="108">
        <v>0</v>
      </c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7"/>
      <c r="AV874" s="107"/>
      <c r="AW874" s="107"/>
      <c r="AX874" s="107"/>
      <c r="AY874" s="106">
        <v>3.28474</v>
      </c>
      <c r="AZ874" s="107"/>
      <c r="BA874" s="107"/>
      <c r="BB874" s="107"/>
      <c r="BC874" s="107">
        <v>12.39757</v>
      </c>
      <c r="BD874" s="107">
        <v>12.15686</v>
      </c>
      <c r="BE874" s="107"/>
      <c r="BF874" s="107"/>
      <c r="BG874" s="107"/>
      <c r="BH874" s="107"/>
      <c r="BI874" s="107"/>
      <c r="BJ874" s="107">
        <v>157.29689</v>
      </c>
      <c r="BK874" s="107"/>
      <c r="BL874" s="107"/>
      <c r="BM874" s="107"/>
      <c r="BN874" s="107"/>
      <c r="BO874" s="107"/>
      <c r="BP874" s="107"/>
      <c r="BQ874" s="109"/>
      <c r="BR874" s="109"/>
      <c r="BS874" s="109"/>
      <c r="BT874" s="109"/>
      <c r="BU874" s="138"/>
    </row>
    <row r="875" spans="1:73" ht="38.25" customHeight="1" outlineLevel="2">
      <c r="A875" s="35" t="s">
        <v>73</v>
      </c>
      <c r="B875" s="37" t="s">
        <v>444</v>
      </c>
      <c r="C875" s="20" t="s">
        <v>587</v>
      </c>
      <c r="D875" s="218" t="s">
        <v>86</v>
      </c>
      <c r="E875" s="220" t="s">
        <v>2661</v>
      </c>
      <c r="F875" s="108">
        <f t="shared" si="149"/>
        <v>1230.997</v>
      </c>
      <c r="G875" s="106">
        <f t="shared" si="156"/>
        <v>871.9135000000001</v>
      </c>
      <c r="H875" s="106">
        <f t="shared" si="157"/>
        <v>359.0835</v>
      </c>
      <c r="I875" s="107"/>
      <c r="J875" s="107"/>
      <c r="K875" s="107"/>
      <c r="L875" s="107"/>
      <c r="M875" s="107"/>
      <c r="N875" s="107"/>
      <c r="O875" s="106">
        <f>416.14156+1.56164+153.48337</f>
        <v>571.1865700000001</v>
      </c>
      <c r="P875" s="106">
        <f>18.48794+71.36152</f>
        <v>89.84946</v>
      </c>
      <c r="Q875" s="106"/>
      <c r="R875" s="106"/>
      <c r="S875" s="106"/>
      <c r="T875" s="106"/>
      <c r="U875" s="106"/>
      <c r="V875" s="106"/>
      <c r="W875" s="106"/>
      <c r="X875" s="106"/>
      <c r="Y875" s="107"/>
      <c r="Z875" s="107"/>
      <c r="AA875" s="159">
        <v>112.55877</v>
      </c>
      <c r="AB875" s="106">
        <v>59.42193</v>
      </c>
      <c r="AC875" s="107"/>
      <c r="AD875" s="107"/>
      <c r="AE875" s="107"/>
      <c r="AF875" s="107"/>
      <c r="AG875" s="107"/>
      <c r="AH875" s="107"/>
      <c r="AI875" s="107"/>
      <c r="AJ875" s="108">
        <v>25.27284</v>
      </c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7"/>
      <c r="AV875" s="107"/>
      <c r="AW875" s="107"/>
      <c r="AX875" s="107"/>
      <c r="AY875" s="106"/>
      <c r="AZ875" s="107"/>
      <c r="BA875" s="107"/>
      <c r="BB875" s="107"/>
      <c r="BC875" s="107">
        <f>231.71525-43.54709</f>
        <v>188.16816</v>
      </c>
      <c r="BD875" s="107">
        <f>227.28218-42.74291</f>
        <v>184.53927000000002</v>
      </c>
      <c r="BE875" s="107"/>
      <c r="BF875" s="107"/>
      <c r="BG875" s="107"/>
      <c r="BH875" s="107"/>
      <c r="BI875" s="107"/>
      <c r="BJ875" s="107"/>
      <c r="BK875" s="107"/>
      <c r="BL875" s="107"/>
      <c r="BM875" s="107"/>
      <c r="BN875" s="107"/>
      <c r="BO875" s="107"/>
      <c r="BP875" s="107"/>
      <c r="BQ875" s="109"/>
      <c r="BR875" s="109"/>
      <c r="BS875" s="109"/>
      <c r="BT875" s="109"/>
      <c r="BU875" s="138"/>
    </row>
    <row r="876" spans="1:73" ht="38.25" customHeight="1" outlineLevel="2">
      <c r="A876" s="35" t="s">
        <v>73</v>
      </c>
      <c r="B876" s="37" t="s">
        <v>391</v>
      </c>
      <c r="C876" s="20" t="s">
        <v>587</v>
      </c>
      <c r="D876" s="218" t="s">
        <v>1578</v>
      </c>
      <c r="E876" s="220" t="s">
        <v>2662</v>
      </c>
      <c r="F876" s="108">
        <f t="shared" si="149"/>
        <v>79.24414999999999</v>
      </c>
      <c r="G876" s="106">
        <f t="shared" si="156"/>
        <v>40.01134</v>
      </c>
      <c r="H876" s="106">
        <f t="shared" si="157"/>
        <v>39.23281</v>
      </c>
      <c r="I876" s="107"/>
      <c r="J876" s="107"/>
      <c r="K876" s="107"/>
      <c r="L876" s="107"/>
      <c r="M876" s="107"/>
      <c r="N876" s="107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7"/>
      <c r="Z876" s="107"/>
      <c r="AA876" s="159"/>
      <c r="AB876" s="106"/>
      <c r="AC876" s="107"/>
      <c r="AD876" s="107"/>
      <c r="AE876" s="107"/>
      <c r="AF876" s="107"/>
      <c r="AG876" s="107"/>
      <c r="AH876" s="107"/>
      <c r="AI876" s="107"/>
      <c r="AJ876" s="108">
        <v>0</v>
      </c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7"/>
      <c r="AV876" s="107"/>
      <c r="AW876" s="107"/>
      <c r="AX876" s="107"/>
      <c r="AY876" s="106"/>
      <c r="AZ876" s="107"/>
      <c r="BA876" s="107"/>
      <c r="BB876" s="107"/>
      <c r="BC876" s="107">
        <v>40.01134</v>
      </c>
      <c r="BD876" s="107">
        <v>39.23281</v>
      </c>
      <c r="BE876" s="107"/>
      <c r="BF876" s="107"/>
      <c r="BG876" s="107"/>
      <c r="BH876" s="107"/>
      <c r="BI876" s="107"/>
      <c r="BJ876" s="107"/>
      <c r="BK876" s="107"/>
      <c r="BL876" s="107"/>
      <c r="BM876" s="107"/>
      <c r="BN876" s="107"/>
      <c r="BO876" s="107"/>
      <c r="BP876" s="107"/>
      <c r="BQ876" s="109"/>
      <c r="BR876" s="109"/>
      <c r="BS876" s="109"/>
      <c r="BT876" s="109"/>
      <c r="BU876" s="138"/>
    </row>
    <row r="877" spans="1:73" ht="38.25" customHeight="1" outlineLevel="2">
      <c r="A877" s="35" t="s">
        <v>73</v>
      </c>
      <c r="B877" s="37" t="s">
        <v>443</v>
      </c>
      <c r="C877" s="20" t="s">
        <v>587</v>
      </c>
      <c r="D877" s="218" t="s">
        <v>785</v>
      </c>
      <c r="E877" s="220" t="s">
        <v>2663</v>
      </c>
      <c r="F877" s="108">
        <f t="shared" si="149"/>
        <v>2611.9756700000003</v>
      </c>
      <c r="G877" s="106">
        <f t="shared" si="156"/>
        <v>1322.27842</v>
      </c>
      <c r="H877" s="106">
        <f t="shared" si="157"/>
        <v>1289.6972500000002</v>
      </c>
      <c r="I877" s="107"/>
      <c r="J877" s="107"/>
      <c r="K877" s="107">
        <v>262.71881</v>
      </c>
      <c r="L877" s="107">
        <v>131.35939</v>
      </c>
      <c r="M877" s="107"/>
      <c r="N877" s="107"/>
      <c r="O877" s="106">
        <v>1.61035</v>
      </c>
      <c r="P877" s="106">
        <v>0.08476</v>
      </c>
      <c r="Q877" s="106"/>
      <c r="R877" s="106"/>
      <c r="S877" s="106"/>
      <c r="T877" s="106"/>
      <c r="U877" s="106"/>
      <c r="V877" s="106"/>
      <c r="W877" s="106"/>
      <c r="X877" s="106"/>
      <c r="Y877" s="107"/>
      <c r="Z877" s="107"/>
      <c r="AA877" s="159">
        <v>432.46544</v>
      </c>
      <c r="AB877" s="106">
        <v>198.07309</v>
      </c>
      <c r="AC877" s="107"/>
      <c r="AD877" s="107"/>
      <c r="AE877" s="107"/>
      <c r="AF877" s="107"/>
      <c r="AG877" s="107"/>
      <c r="AH877" s="107"/>
      <c r="AI877" s="107"/>
      <c r="AJ877" s="108">
        <v>67.215</v>
      </c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7"/>
      <c r="AV877" s="107"/>
      <c r="AW877" s="107"/>
      <c r="AX877" s="107"/>
      <c r="AY877" s="106"/>
      <c r="AZ877" s="107"/>
      <c r="BA877" s="107"/>
      <c r="BB877" s="107"/>
      <c r="BC877" s="107">
        <v>625.48382</v>
      </c>
      <c r="BD877" s="107">
        <v>613.39603</v>
      </c>
      <c r="BE877" s="107">
        <v>66.8</v>
      </c>
      <c r="BF877" s="107"/>
      <c r="BG877" s="107"/>
      <c r="BH877" s="107"/>
      <c r="BI877" s="107"/>
      <c r="BJ877" s="107">
        <v>212.76898</v>
      </c>
      <c r="BK877" s="107"/>
      <c r="BL877" s="107"/>
      <c r="BM877" s="107"/>
      <c r="BN877" s="107"/>
      <c r="BO877" s="107"/>
      <c r="BP877" s="107"/>
      <c r="BQ877" s="109"/>
      <c r="BR877" s="109"/>
      <c r="BS877" s="109"/>
      <c r="BT877" s="109"/>
      <c r="BU877" s="138"/>
    </row>
    <row r="878" spans="1:73" ht="38.25" customHeight="1" outlineLevel="2">
      <c r="A878" s="35" t="s">
        <v>73</v>
      </c>
      <c r="B878" s="37" t="s">
        <v>445</v>
      </c>
      <c r="C878" s="20" t="s">
        <v>587</v>
      </c>
      <c r="D878" s="218" t="s">
        <v>786</v>
      </c>
      <c r="E878" s="220" t="s">
        <v>2664</v>
      </c>
      <c r="F878" s="108">
        <f t="shared" si="149"/>
        <v>1933.85002</v>
      </c>
      <c r="G878" s="106">
        <f t="shared" si="156"/>
        <v>1012.2730300000001</v>
      </c>
      <c r="H878" s="106">
        <f t="shared" si="157"/>
        <v>921.57699</v>
      </c>
      <c r="I878" s="107"/>
      <c r="J878" s="107"/>
      <c r="K878" s="107"/>
      <c r="L878" s="107"/>
      <c r="M878" s="107"/>
      <c r="N878" s="107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7"/>
      <c r="Z878" s="107"/>
      <c r="AA878" s="159">
        <v>547.31408</v>
      </c>
      <c r="AB878" s="106">
        <v>277.30233</v>
      </c>
      <c r="AC878" s="107"/>
      <c r="AD878" s="107"/>
      <c r="AE878" s="107"/>
      <c r="AF878" s="107"/>
      <c r="AG878" s="107"/>
      <c r="AH878" s="107"/>
      <c r="AI878" s="107"/>
      <c r="AJ878" s="108">
        <v>188.2994</v>
      </c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/>
      <c r="AV878" s="107"/>
      <c r="AW878" s="107"/>
      <c r="AX878" s="107"/>
      <c r="AY878" s="106"/>
      <c r="AZ878" s="107"/>
      <c r="BA878" s="107"/>
      <c r="BB878" s="107"/>
      <c r="BC878" s="107">
        <v>464.95895</v>
      </c>
      <c r="BD878" s="107">
        <v>455.97526</v>
      </c>
      <c r="BE878" s="107"/>
      <c r="BF878" s="107"/>
      <c r="BG878" s="107"/>
      <c r="BH878" s="107"/>
      <c r="BI878" s="107"/>
      <c r="BJ878" s="107"/>
      <c r="BK878" s="107"/>
      <c r="BL878" s="107"/>
      <c r="BM878" s="107"/>
      <c r="BN878" s="107"/>
      <c r="BO878" s="107"/>
      <c r="BP878" s="107"/>
      <c r="BQ878" s="109"/>
      <c r="BR878" s="109"/>
      <c r="BS878" s="109"/>
      <c r="BT878" s="109"/>
      <c r="BU878" s="138"/>
    </row>
    <row r="879" spans="1:73" ht="38.25" customHeight="1" outlineLevel="2">
      <c r="A879" s="35" t="s">
        <v>73</v>
      </c>
      <c r="B879" s="37" t="s">
        <v>446</v>
      </c>
      <c r="C879" s="20" t="s">
        <v>587</v>
      </c>
      <c r="D879" s="218" t="s">
        <v>183</v>
      </c>
      <c r="E879" s="220" t="s">
        <v>2665</v>
      </c>
      <c r="F879" s="108">
        <f t="shared" si="149"/>
        <v>341.01778</v>
      </c>
      <c r="G879" s="106">
        <f t="shared" si="156"/>
        <v>205.61631</v>
      </c>
      <c r="H879" s="106">
        <f t="shared" si="157"/>
        <v>135.40147</v>
      </c>
      <c r="I879" s="107"/>
      <c r="J879" s="107"/>
      <c r="K879" s="107"/>
      <c r="L879" s="107"/>
      <c r="M879" s="107"/>
      <c r="N879" s="107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7"/>
      <c r="Z879" s="107"/>
      <c r="AA879" s="159">
        <v>132.1752</v>
      </c>
      <c r="AB879" s="106">
        <v>63.38339</v>
      </c>
      <c r="AC879" s="107"/>
      <c r="AD879" s="107"/>
      <c r="AE879" s="107"/>
      <c r="AF879" s="107"/>
      <c r="AG879" s="107"/>
      <c r="AH879" s="107"/>
      <c r="AI879" s="107"/>
      <c r="AJ879" s="108">
        <v>0</v>
      </c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7"/>
      <c r="AV879" s="107"/>
      <c r="AW879" s="107"/>
      <c r="AX879" s="107"/>
      <c r="AY879" s="106"/>
      <c r="AZ879" s="107"/>
      <c r="BA879" s="107"/>
      <c r="BB879" s="107"/>
      <c r="BC879" s="107">
        <v>73.44111</v>
      </c>
      <c r="BD879" s="107">
        <v>72.01808</v>
      </c>
      <c r="BE879" s="107"/>
      <c r="BF879" s="107"/>
      <c r="BG879" s="107"/>
      <c r="BH879" s="107"/>
      <c r="BI879" s="107"/>
      <c r="BJ879" s="107"/>
      <c r="BK879" s="107"/>
      <c r="BL879" s="107"/>
      <c r="BM879" s="107"/>
      <c r="BN879" s="107"/>
      <c r="BO879" s="107"/>
      <c r="BP879" s="107"/>
      <c r="BQ879" s="109"/>
      <c r="BR879" s="109"/>
      <c r="BS879" s="109"/>
      <c r="BT879" s="109"/>
      <c r="BU879" s="138"/>
    </row>
    <row r="880" spans="1:73" ht="38.25" customHeight="1" outlineLevel="2">
      <c r="A880" s="35" t="s">
        <v>73</v>
      </c>
      <c r="B880" s="37" t="s">
        <v>448</v>
      </c>
      <c r="C880" s="20" t="s">
        <v>710</v>
      </c>
      <c r="D880" s="218" t="s">
        <v>182</v>
      </c>
      <c r="E880" s="220" t="s">
        <v>2666</v>
      </c>
      <c r="F880" s="108">
        <f t="shared" si="149"/>
        <v>22.920770000000005</v>
      </c>
      <c r="G880" s="106">
        <f t="shared" si="156"/>
        <v>2.98429</v>
      </c>
      <c r="H880" s="106">
        <f t="shared" si="157"/>
        <v>19.936480000000003</v>
      </c>
      <c r="I880" s="107"/>
      <c r="J880" s="107"/>
      <c r="K880" s="107"/>
      <c r="L880" s="107"/>
      <c r="M880" s="107"/>
      <c r="N880" s="107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7"/>
      <c r="Z880" s="107"/>
      <c r="AA880" s="159"/>
      <c r="AB880" s="106"/>
      <c r="AC880" s="107"/>
      <c r="AD880" s="107"/>
      <c r="AE880" s="107"/>
      <c r="AF880" s="107"/>
      <c r="AG880" s="107"/>
      <c r="AH880" s="107"/>
      <c r="AI880" s="107"/>
      <c r="AJ880" s="108">
        <v>0</v>
      </c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7"/>
      <c r="AV880" s="107"/>
      <c r="AW880" s="107"/>
      <c r="AX880" s="107"/>
      <c r="AY880" s="106"/>
      <c r="AZ880" s="107">
        <v>17.01</v>
      </c>
      <c r="BA880" s="107"/>
      <c r="BB880" s="107"/>
      <c r="BC880" s="107">
        <v>2.98429</v>
      </c>
      <c r="BD880" s="107">
        <v>2.92648</v>
      </c>
      <c r="BE880" s="107"/>
      <c r="BF880" s="107"/>
      <c r="BG880" s="107"/>
      <c r="BH880" s="107"/>
      <c r="BI880" s="107"/>
      <c r="BJ880" s="107"/>
      <c r="BK880" s="107"/>
      <c r="BL880" s="107"/>
      <c r="BM880" s="107"/>
      <c r="BN880" s="107"/>
      <c r="BO880" s="107"/>
      <c r="BP880" s="107"/>
      <c r="BQ880" s="109"/>
      <c r="BR880" s="109"/>
      <c r="BS880" s="109"/>
      <c r="BT880" s="109"/>
      <c r="BU880" s="138"/>
    </row>
    <row r="881" spans="1:73" ht="47.25" customHeight="1" outlineLevel="2" thickBot="1">
      <c r="A881" s="35" t="s">
        <v>73</v>
      </c>
      <c r="B881" s="37" t="s">
        <v>787</v>
      </c>
      <c r="C881" s="20" t="s">
        <v>587</v>
      </c>
      <c r="D881" s="218" t="s">
        <v>788</v>
      </c>
      <c r="E881" s="203" t="s">
        <v>2667</v>
      </c>
      <c r="F881" s="108">
        <f t="shared" si="149"/>
        <v>69.78536</v>
      </c>
      <c r="G881" s="106">
        <f t="shared" si="156"/>
        <v>35.22959</v>
      </c>
      <c r="H881" s="106">
        <f t="shared" si="157"/>
        <v>34.55577</v>
      </c>
      <c r="I881" s="107"/>
      <c r="J881" s="107"/>
      <c r="K881" s="107"/>
      <c r="L881" s="107"/>
      <c r="M881" s="107"/>
      <c r="N881" s="107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7"/>
      <c r="Z881" s="107"/>
      <c r="AA881" s="159"/>
      <c r="AB881" s="106"/>
      <c r="AC881" s="107"/>
      <c r="AD881" s="107"/>
      <c r="AE881" s="107"/>
      <c r="AF881" s="107"/>
      <c r="AG881" s="107"/>
      <c r="AH881" s="107"/>
      <c r="AI881" s="107"/>
      <c r="AJ881" s="108">
        <v>0</v>
      </c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7"/>
      <c r="AV881" s="107"/>
      <c r="AW881" s="107"/>
      <c r="AX881" s="107"/>
      <c r="AY881" s="106"/>
      <c r="AZ881" s="107"/>
      <c r="BA881" s="107"/>
      <c r="BB881" s="107"/>
      <c r="BC881" s="107">
        <v>35.22959</v>
      </c>
      <c r="BD881" s="107">
        <v>34.55577</v>
      </c>
      <c r="BE881" s="107"/>
      <c r="BF881" s="107"/>
      <c r="BG881" s="107"/>
      <c r="BH881" s="107"/>
      <c r="BI881" s="107"/>
      <c r="BJ881" s="107"/>
      <c r="BK881" s="107"/>
      <c r="BL881" s="107"/>
      <c r="BM881" s="107"/>
      <c r="BN881" s="107"/>
      <c r="BO881" s="107"/>
      <c r="BP881" s="107"/>
      <c r="BQ881" s="109"/>
      <c r="BR881" s="109"/>
      <c r="BS881" s="109"/>
      <c r="BT881" s="109"/>
      <c r="BU881" s="138"/>
    </row>
    <row r="882" spans="1:73" s="32" customFormat="1" ht="21" outlineLevel="1" thickBot="1">
      <c r="A882" s="40" t="s">
        <v>682</v>
      </c>
      <c r="B882" s="41"/>
      <c r="C882" s="30" t="s">
        <v>1572</v>
      </c>
      <c r="D882" s="222"/>
      <c r="E882" s="223"/>
      <c r="F882" s="117">
        <f aca="true" t="shared" si="158" ref="F882:BJ882">SUBTOTAL(9,F870:F881)</f>
        <v>12559.33976</v>
      </c>
      <c r="G882" s="117">
        <f t="shared" si="158"/>
        <v>5458.4434900000015</v>
      </c>
      <c r="H882" s="117">
        <f t="shared" si="158"/>
        <v>7100.896270000001</v>
      </c>
      <c r="I882" s="117">
        <f t="shared" si="158"/>
        <v>0</v>
      </c>
      <c r="J882" s="117">
        <f t="shared" si="158"/>
        <v>0</v>
      </c>
      <c r="K882" s="117">
        <f t="shared" si="158"/>
        <v>262.71881</v>
      </c>
      <c r="L882" s="117">
        <f t="shared" si="158"/>
        <v>131.35939</v>
      </c>
      <c r="M882" s="117">
        <f t="shared" si="158"/>
        <v>69.46958</v>
      </c>
      <c r="N882" s="117">
        <f t="shared" si="158"/>
        <v>0</v>
      </c>
      <c r="O882" s="117">
        <f t="shared" si="158"/>
        <v>627.9791900000001</v>
      </c>
      <c r="P882" s="117">
        <f t="shared" si="158"/>
        <v>97.28303</v>
      </c>
      <c r="Q882" s="117">
        <f t="shared" si="158"/>
        <v>0</v>
      </c>
      <c r="R882" s="117">
        <f t="shared" si="158"/>
        <v>0</v>
      </c>
      <c r="S882" s="117">
        <f t="shared" si="158"/>
        <v>0</v>
      </c>
      <c r="T882" s="117">
        <f t="shared" si="158"/>
        <v>0</v>
      </c>
      <c r="U882" s="117">
        <f t="shared" si="158"/>
        <v>0</v>
      </c>
      <c r="V882" s="117">
        <f t="shared" si="158"/>
        <v>0</v>
      </c>
      <c r="W882" s="117">
        <f t="shared" si="158"/>
        <v>0</v>
      </c>
      <c r="X882" s="117">
        <f t="shared" si="158"/>
        <v>0</v>
      </c>
      <c r="Y882" s="117">
        <f t="shared" si="158"/>
        <v>0</v>
      </c>
      <c r="Z882" s="117">
        <f t="shared" si="158"/>
        <v>0</v>
      </c>
      <c r="AA882" s="117">
        <f t="shared" si="158"/>
        <v>1808.8098499999999</v>
      </c>
      <c r="AB882" s="117">
        <f t="shared" si="158"/>
        <v>899.2518399999999</v>
      </c>
      <c r="AC882" s="117">
        <f t="shared" si="158"/>
        <v>0</v>
      </c>
      <c r="AD882" s="117">
        <f t="shared" si="158"/>
        <v>0</v>
      </c>
      <c r="AE882" s="117">
        <f t="shared" si="158"/>
        <v>0</v>
      </c>
      <c r="AF882" s="117">
        <f t="shared" si="158"/>
        <v>0</v>
      </c>
      <c r="AG882" s="117">
        <f t="shared" si="158"/>
        <v>27.3042</v>
      </c>
      <c r="AH882" s="117">
        <f t="shared" si="158"/>
        <v>0</v>
      </c>
      <c r="AI882" s="117">
        <f t="shared" si="158"/>
        <v>0</v>
      </c>
      <c r="AJ882" s="117">
        <f>SUBTOTAL(9,AJ870:AJ881)</f>
        <v>476.79024</v>
      </c>
      <c r="AK882" s="117">
        <f t="shared" si="158"/>
        <v>0</v>
      </c>
      <c r="AL882" s="117">
        <f t="shared" si="158"/>
        <v>0</v>
      </c>
      <c r="AM882" s="117">
        <f t="shared" si="158"/>
        <v>0</v>
      </c>
      <c r="AN882" s="117">
        <f t="shared" si="158"/>
        <v>0</v>
      </c>
      <c r="AO882" s="117">
        <f t="shared" si="158"/>
        <v>0</v>
      </c>
      <c r="AP882" s="117">
        <f t="shared" si="158"/>
        <v>0</v>
      </c>
      <c r="AQ882" s="117">
        <f t="shared" si="158"/>
        <v>0</v>
      </c>
      <c r="AR882" s="117">
        <f t="shared" si="158"/>
        <v>0</v>
      </c>
      <c r="AS882" s="117">
        <f t="shared" si="158"/>
        <v>0</v>
      </c>
      <c r="AT882" s="117">
        <f t="shared" si="158"/>
        <v>0</v>
      </c>
      <c r="AU882" s="117">
        <f t="shared" si="158"/>
        <v>0</v>
      </c>
      <c r="AV882" s="117">
        <f t="shared" si="158"/>
        <v>0</v>
      </c>
      <c r="AW882" s="117">
        <f t="shared" si="158"/>
        <v>0</v>
      </c>
      <c r="AX882" s="117">
        <f t="shared" si="158"/>
        <v>0</v>
      </c>
      <c r="AY882" s="117">
        <f t="shared" si="158"/>
        <v>3.28474</v>
      </c>
      <c r="AZ882" s="117">
        <f t="shared" si="158"/>
        <v>48.141000000000005</v>
      </c>
      <c r="BA882" s="117">
        <f t="shared" si="158"/>
        <v>0</v>
      </c>
      <c r="BB882" s="117">
        <f t="shared" si="158"/>
        <v>0</v>
      </c>
      <c r="BC882" s="117">
        <f t="shared" si="158"/>
        <v>2758.93564</v>
      </c>
      <c r="BD882" s="117">
        <f t="shared" si="158"/>
        <v>2705.58569</v>
      </c>
      <c r="BE882" s="117">
        <f t="shared" si="158"/>
        <v>126.8</v>
      </c>
      <c r="BF882" s="117">
        <f t="shared" si="158"/>
        <v>0</v>
      </c>
      <c r="BG882" s="117">
        <f t="shared" si="158"/>
        <v>0</v>
      </c>
      <c r="BH882" s="117">
        <f t="shared" si="158"/>
        <v>0</v>
      </c>
      <c r="BI882" s="117">
        <f t="shared" si="158"/>
        <v>0</v>
      </c>
      <c r="BJ882" s="117">
        <f t="shared" si="158"/>
        <v>2515.6265599999997</v>
      </c>
      <c r="BK882" s="117"/>
      <c r="BL882" s="117">
        <f aca="true" t="shared" si="159" ref="BL882:BU882">SUBTOTAL(9,BL870:BL881)</f>
        <v>0</v>
      </c>
      <c r="BM882" s="117">
        <f t="shared" si="159"/>
        <v>0</v>
      </c>
      <c r="BN882" s="117">
        <f t="shared" si="159"/>
        <v>0</v>
      </c>
      <c r="BO882" s="117">
        <f t="shared" si="159"/>
        <v>0</v>
      </c>
      <c r="BP882" s="117">
        <f t="shared" si="159"/>
        <v>0</v>
      </c>
      <c r="BQ882" s="117">
        <f t="shared" si="159"/>
        <v>0</v>
      </c>
      <c r="BR882" s="117">
        <f t="shared" si="159"/>
        <v>0</v>
      </c>
      <c r="BS882" s="117">
        <f t="shared" si="159"/>
        <v>0</v>
      </c>
      <c r="BT882" s="117">
        <f t="shared" si="159"/>
        <v>0</v>
      </c>
      <c r="BU882" s="117">
        <f t="shared" si="159"/>
        <v>0</v>
      </c>
    </row>
    <row r="883" spans="1:73" ht="33.75" customHeight="1" outlineLevel="2">
      <c r="A883" s="2" t="s">
        <v>683</v>
      </c>
      <c r="B883" s="3" t="s">
        <v>449</v>
      </c>
      <c r="C883" s="4" t="s">
        <v>1496</v>
      </c>
      <c r="D883" s="230" t="s">
        <v>755</v>
      </c>
      <c r="E883" s="203" t="s">
        <v>2670</v>
      </c>
      <c r="F883" s="108">
        <f t="shared" si="149"/>
        <v>17597.94195</v>
      </c>
      <c r="G883" s="106">
        <f>I883+K883+O883+S883+U883+W883+Y883+AA883+AC883+AE883+AR883+AX883+BC883+BG883+BP883+BR883+BT883+AO883</f>
        <v>5433.03289</v>
      </c>
      <c r="H883" s="106">
        <f>J883+L883+M883+N883+P883+Q883+R883+T883+V883+X883+Z883+AB883+AD883+AF883+AG883+AJ883+AL883+AS883+AT883+AU883+AV883+AW883+AY883+AZ883+BA883+BB883+BD883+BE883+BF883+BH883+BI883+BJ883+BL883+BM883+BN883+BO883+BQ883+BS883+BU883+AH883+AI883+AK883+AM883+AN883+AP883+AQ883+BK883</f>
        <v>12164.909060000002</v>
      </c>
      <c r="I883" s="119">
        <v>166.73098</v>
      </c>
      <c r="J883" s="119">
        <v>27.78849</v>
      </c>
      <c r="K883" s="119">
        <v>239.98239</v>
      </c>
      <c r="L883" s="119">
        <v>89.21032</v>
      </c>
      <c r="M883" s="119"/>
      <c r="N883" s="119"/>
      <c r="O883" s="120"/>
      <c r="P883" s="120"/>
      <c r="Q883" s="120">
        <v>46.84096</v>
      </c>
      <c r="R883" s="120"/>
      <c r="S883" s="120"/>
      <c r="T883" s="120"/>
      <c r="U883" s="120"/>
      <c r="V883" s="120"/>
      <c r="W883" s="120">
        <v>1746.66092</v>
      </c>
      <c r="X883" s="120">
        <v>911.8793</v>
      </c>
      <c r="Y883" s="119">
        <v>367.13376</v>
      </c>
      <c r="Z883" s="119">
        <v>1098.075</v>
      </c>
      <c r="AA883" s="163">
        <v>681.32466</v>
      </c>
      <c r="AB883" s="120">
        <v>357.91807</v>
      </c>
      <c r="AC883" s="119"/>
      <c r="AD883" s="119"/>
      <c r="AE883" s="119"/>
      <c r="AF883" s="119"/>
      <c r="AG883" s="119"/>
      <c r="AH883" s="119"/>
      <c r="AI883" s="119"/>
      <c r="AJ883" s="108">
        <v>766.19136</v>
      </c>
      <c r="AK883" s="119"/>
      <c r="AL883" s="119"/>
      <c r="AM883" s="119"/>
      <c r="AN883" s="119"/>
      <c r="AO883" s="119"/>
      <c r="AP883" s="119"/>
      <c r="AQ883" s="119"/>
      <c r="AR883" s="119"/>
      <c r="AS883" s="119"/>
      <c r="AT883" s="119"/>
      <c r="AU883" s="119"/>
      <c r="AV883" s="119"/>
      <c r="AW883" s="119"/>
      <c r="AX883" s="119"/>
      <c r="AY883" s="120">
        <v>467.2516</v>
      </c>
      <c r="AZ883" s="119"/>
      <c r="BA883" s="113">
        <f>1740+1632.2289</f>
        <v>3372.2289</v>
      </c>
      <c r="BB883" s="119"/>
      <c r="BC883" s="119">
        <v>2231.20018</v>
      </c>
      <c r="BD883" s="119">
        <v>2188.08235</v>
      </c>
      <c r="BE883" s="119">
        <v>855.92322</v>
      </c>
      <c r="BF883" s="119"/>
      <c r="BG883" s="119"/>
      <c r="BH883" s="119"/>
      <c r="BI883" s="119"/>
      <c r="BJ883" s="119">
        <v>1983.51949</v>
      </c>
      <c r="BK883" s="119"/>
      <c r="BL883" s="119"/>
      <c r="BM883" s="119"/>
      <c r="BN883" s="119"/>
      <c r="BO883" s="119"/>
      <c r="BP883" s="119"/>
      <c r="BQ883" s="121"/>
      <c r="BR883" s="121"/>
      <c r="BS883" s="121"/>
      <c r="BT883" s="121"/>
      <c r="BU883" s="140"/>
    </row>
    <row r="884" spans="1:73" ht="29.25" customHeight="1" outlineLevel="2">
      <c r="A884" s="35" t="s">
        <v>683</v>
      </c>
      <c r="B884" s="19" t="s">
        <v>937</v>
      </c>
      <c r="C884" s="20" t="s">
        <v>1496</v>
      </c>
      <c r="D884" s="218" t="s">
        <v>328</v>
      </c>
      <c r="E884" s="203" t="s">
        <v>2671</v>
      </c>
      <c r="F884" s="108">
        <f t="shared" si="149"/>
        <v>101575.34223000001</v>
      </c>
      <c r="G884" s="106">
        <f aca="true" t="shared" si="160" ref="G884:G916">I884+K884+O884+S884+U884+W884+Y884+AA884+AC884+AE884+AR884+AX884+BC884+BG884+BP884+BR884+BT884+AO884</f>
        <v>55093.91349</v>
      </c>
      <c r="H884" s="106">
        <f aca="true" t="shared" si="161" ref="H884:H916">J884+L884+M884+N884+P884+Q884+R884+T884+V884+X884+Z884+AB884+AD884+AF884+AG884+AJ884+AL884+AS884+AT884+AU884+AV884+AW884+AY884+AZ884+BA884+BB884+BD884+BE884+BF884+BH884+BI884+BJ884+BL884+BM884+BN884+BO884+BQ884+BS884+BU884+AH884+AI884+AK884+AM884+AN884+AP884+AQ884+BK884</f>
        <v>46481.42874</v>
      </c>
      <c r="I884" s="107"/>
      <c r="J884" s="107"/>
      <c r="K884" s="107">
        <v>12448.3816</v>
      </c>
      <c r="L884" s="107">
        <v>1214.50381</v>
      </c>
      <c r="M884" s="107">
        <v>463.79317</v>
      </c>
      <c r="N884" s="107"/>
      <c r="O884" s="106"/>
      <c r="P884" s="106"/>
      <c r="Q884" s="106"/>
      <c r="R884" s="106"/>
      <c r="S884" s="106"/>
      <c r="T884" s="106"/>
      <c r="U884" s="106"/>
      <c r="V884" s="106"/>
      <c r="W884" s="106">
        <v>13920.77647</v>
      </c>
      <c r="X884" s="106">
        <v>7267.61999</v>
      </c>
      <c r="Y884" s="107">
        <v>571.2</v>
      </c>
      <c r="Z884" s="107">
        <v>1270.62</v>
      </c>
      <c r="AA884" s="159">
        <v>4769.19327</v>
      </c>
      <c r="AB884" s="106">
        <v>2069.66572</v>
      </c>
      <c r="AC884" s="107"/>
      <c r="AD884" s="107"/>
      <c r="AE884" s="107"/>
      <c r="AF884" s="107"/>
      <c r="AG884" s="107"/>
      <c r="AH884" s="107"/>
      <c r="AI884" s="107"/>
      <c r="AJ884" s="108">
        <v>4534.26196</v>
      </c>
      <c r="AK884" s="107">
        <f>82.908+77.8215</f>
        <v>160.7295</v>
      </c>
      <c r="AL884" s="107"/>
      <c r="AM884" s="107"/>
      <c r="AN884" s="107"/>
      <c r="AO884" s="107"/>
      <c r="AP884" s="107"/>
      <c r="AQ884" s="107"/>
      <c r="AR884" s="107"/>
      <c r="AS884" s="107"/>
      <c r="AT884" s="107"/>
      <c r="AU884" s="107"/>
      <c r="AV884" s="107">
        <v>2995.2</v>
      </c>
      <c r="AW884" s="107"/>
      <c r="AX884" s="107">
        <v>9221.69243</v>
      </c>
      <c r="AY884" s="106">
        <v>3715.15389</v>
      </c>
      <c r="AZ884" s="107"/>
      <c r="BA884" s="107"/>
      <c r="BB884" s="107"/>
      <c r="BC884" s="107">
        <v>14162.66972</v>
      </c>
      <c r="BD884" s="107">
        <v>13889.83861</v>
      </c>
      <c r="BE884" s="107"/>
      <c r="BF884" s="107"/>
      <c r="BG884" s="107"/>
      <c r="BH884" s="107"/>
      <c r="BI884" s="107"/>
      <c r="BJ884" s="107">
        <v>7452.99926</v>
      </c>
      <c r="BK884" s="107"/>
      <c r="BL884" s="107"/>
      <c r="BM884" s="107">
        <v>1447.04283</v>
      </c>
      <c r="BN884" s="107"/>
      <c r="BO884" s="107"/>
      <c r="BP884" s="107"/>
      <c r="BQ884" s="109"/>
      <c r="BR884" s="109"/>
      <c r="BS884" s="109"/>
      <c r="BT884" s="109"/>
      <c r="BU884" s="138"/>
    </row>
    <row r="885" spans="1:73" ht="29.25" customHeight="1" outlineLevel="2">
      <c r="A885" s="35" t="s">
        <v>683</v>
      </c>
      <c r="B885" s="19" t="s">
        <v>450</v>
      </c>
      <c r="C885" s="20" t="s">
        <v>1496</v>
      </c>
      <c r="D885" s="218" t="s">
        <v>756</v>
      </c>
      <c r="E885" s="203" t="s">
        <v>2672</v>
      </c>
      <c r="F885" s="108">
        <f t="shared" si="149"/>
        <v>84990.04264</v>
      </c>
      <c r="G885" s="106">
        <f t="shared" si="160"/>
        <v>43478.71011</v>
      </c>
      <c r="H885" s="106">
        <f t="shared" si="161"/>
        <v>41511.33253</v>
      </c>
      <c r="I885" s="107"/>
      <c r="J885" s="107"/>
      <c r="K885" s="107">
        <v>4714.71189</v>
      </c>
      <c r="L885" s="107">
        <v>832.20859</v>
      </c>
      <c r="M885" s="107">
        <v>4960.45024</v>
      </c>
      <c r="N885" s="107"/>
      <c r="O885" s="106"/>
      <c r="P885" s="106"/>
      <c r="Q885" s="106"/>
      <c r="R885" s="106"/>
      <c r="S885" s="106">
        <f>3887.629+665.73801</f>
        <v>4553.36701</v>
      </c>
      <c r="T885" s="106">
        <v>800.30615</v>
      </c>
      <c r="U885" s="106"/>
      <c r="V885" s="106"/>
      <c r="W885" s="106">
        <f>1921.66814+6004.27937</f>
        <v>7925.94751</v>
      </c>
      <c r="X885" s="106">
        <f>1003.24531+3134.65481</f>
        <v>4137.90012</v>
      </c>
      <c r="Y885" s="107">
        <v>16.83567</v>
      </c>
      <c r="Z885" s="107">
        <v>243.21</v>
      </c>
      <c r="AA885" s="159">
        <v>2571.31697</v>
      </c>
      <c r="AB885" s="106">
        <v>1193.1923</v>
      </c>
      <c r="AC885" s="107"/>
      <c r="AD885" s="107"/>
      <c r="AE885" s="107"/>
      <c r="AF885" s="107"/>
      <c r="AG885" s="107"/>
      <c r="AH885" s="107"/>
      <c r="AI885" s="107"/>
      <c r="AJ885" s="108">
        <v>2386.00976</v>
      </c>
      <c r="AK885" s="107">
        <f>191.353+103.762</f>
        <v>295.115</v>
      </c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7"/>
      <c r="AV885" s="107"/>
      <c r="AW885" s="107"/>
      <c r="AX885" s="106">
        <v>13456.04901</v>
      </c>
      <c r="AY885" s="106">
        <v>6110.36704</v>
      </c>
      <c r="AZ885" s="107">
        <v>1907.334</v>
      </c>
      <c r="BA885" s="107"/>
      <c r="BB885" s="107"/>
      <c r="BC885" s="107">
        <v>10240.48205</v>
      </c>
      <c r="BD885" s="107">
        <v>10043.3087</v>
      </c>
      <c r="BE885" s="107"/>
      <c r="BF885" s="107"/>
      <c r="BG885" s="107"/>
      <c r="BH885" s="107"/>
      <c r="BI885" s="107"/>
      <c r="BJ885" s="107">
        <v>8530.26374</v>
      </c>
      <c r="BK885" s="107"/>
      <c r="BL885" s="107"/>
      <c r="BM885" s="107">
        <v>71.66689</v>
      </c>
      <c r="BN885" s="107"/>
      <c r="BO885" s="107"/>
      <c r="BP885" s="107"/>
      <c r="BQ885" s="109"/>
      <c r="BR885" s="109"/>
      <c r="BS885" s="109"/>
      <c r="BT885" s="109"/>
      <c r="BU885" s="138"/>
    </row>
    <row r="886" spans="1:73" ht="30" customHeight="1" outlineLevel="2">
      <c r="A886" s="35" t="s">
        <v>683</v>
      </c>
      <c r="B886" s="51" t="s">
        <v>432</v>
      </c>
      <c r="C886" s="20" t="s">
        <v>1496</v>
      </c>
      <c r="D886" s="218" t="s">
        <v>435</v>
      </c>
      <c r="E886" s="203" t="s">
        <v>2678</v>
      </c>
      <c r="F886" s="108">
        <f t="shared" si="149"/>
        <v>11463.045849999999</v>
      </c>
      <c r="G886" s="106">
        <f t="shared" si="160"/>
        <v>5583.48313</v>
      </c>
      <c r="H886" s="106">
        <f t="shared" si="161"/>
        <v>5879.56272</v>
      </c>
      <c r="I886" s="107"/>
      <c r="J886" s="107"/>
      <c r="K886" s="107"/>
      <c r="L886" s="107"/>
      <c r="M886" s="107"/>
      <c r="N886" s="107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7">
        <v>16.83567</v>
      </c>
      <c r="Z886" s="107">
        <v>79.86</v>
      </c>
      <c r="AA886" s="106">
        <v>1918.57596</v>
      </c>
      <c r="AB886" s="106">
        <v>792.29236</v>
      </c>
      <c r="AC886" s="107"/>
      <c r="AD886" s="107"/>
      <c r="AE886" s="107"/>
      <c r="AF886" s="107"/>
      <c r="AG886" s="107"/>
      <c r="AH886" s="107"/>
      <c r="AI886" s="107"/>
      <c r="AJ886" s="108">
        <v>891.58416</v>
      </c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7"/>
      <c r="AV886" s="107"/>
      <c r="AW886" s="107"/>
      <c r="AX886" s="107">
        <v>440.96</v>
      </c>
      <c r="AY886" s="106">
        <v>970.70079</v>
      </c>
      <c r="AZ886" s="107"/>
      <c r="BA886" s="107"/>
      <c r="BB886" s="107"/>
      <c r="BC886" s="107">
        <v>3207.1115</v>
      </c>
      <c r="BD886" s="107">
        <v>3145.12541</v>
      </c>
      <c r="BE886" s="107"/>
      <c r="BF886" s="107"/>
      <c r="BG886" s="107"/>
      <c r="BH886" s="107"/>
      <c r="BI886" s="107"/>
      <c r="BJ886" s="107"/>
      <c r="BK886" s="107"/>
      <c r="BL886" s="107"/>
      <c r="BM886" s="107"/>
      <c r="BN886" s="107"/>
      <c r="BO886" s="107"/>
      <c r="BP886" s="107"/>
      <c r="BQ886" s="109"/>
      <c r="BR886" s="109"/>
      <c r="BS886" s="109"/>
      <c r="BT886" s="109"/>
      <c r="BU886" s="138"/>
    </row>
    <row r="887" spans="1:73" ht="41.25" customHeight="1" outlineLevel="2">
      <c r="A887" s="24" t="s">
        <v>683</v>
      </c>
      <c r="B887" s="19" t="s">
        <v>832</v>
      </c>
      <c r="C887" s="20" t="s">
        <v>1496</v>
      </c>
      <c r="D887" s="218" t="s">
        <v>684</v>
      </c>
      <c r="E887" s="203" t="s">
        <v>2673</v>
      </c>
      <c r="F887" s="108">
        <f t="shared" si="149"/>
        <v>21162.86946</v>
      </c>
      <c r="G887" s="106">
        <f t="shared" si="160"/>
        <v>8572.42429</v>
      </c>
      <c r="H887" s="106">
        <f t="shared" si="161"/>
        <v>12590.445169999999</v>
      </c>
      <c r="I887" s="107"/>
      <c r="J887" s="107"/>
      <c r="K887" s="107">
        <v>1230.97614</v>
      </c>
      <c r="L887" s="107">
        <v>447.62772</v>
      </c>
      <c r="M887" s="107">
        <v>31.87951</v>
      </c>
      <c r="N887" s="107"/>
      <c r="O887" s="106"/>
      <c r="P887" s="106"/>
      <c r="Q887" s="106">
        <v>353.58219</v>
      </c>
      <c r="R887" s="106"/>
      <c r="S887" s="106"/>
      <c r="T887" s="106"/>
      <c r="U887" s="106"/>
      <c r="V887" s="106"/>
      <c r="W887" s="106">
        <f>1634.04496</f>
        <v>1634.04496</v>
      </c>
      <c r="X887" s="106">
        <v>853.08589</v>
      </c>
      <c r="Y887" s="107"/>
      <c r="Z887" s="107">
        <v>54.45</v>
      </c>
      <c r="AA887" s="159">
        <v>829.75207</v>
      </c>
      <c r="AB887" s="106">
        <v>447.64518</v>
      </c>
      <c r="AC887" s="107"/>
      <c r="AD887" s="107"/>
      <c r="AE887" s="107"/>
      <c r="AF887" s="107"/>
      <c r="AG887" s="107"/>
      <c r="AH887" s="107"/>
      <c r="AI887" s="107"/>
      <c r="AJ887" s="108">
        <v>2105.6254</v>
      </c>
      <c r="AK887" s="107">
        <f>36.8612+25.9405</f>
        <v>62.8017</v>
      </c>
      <c r="AL887" s="107"/>
      <c r="AM887" s="107"/>
      <c r="AN887" s="107">
        <v>181.6529</v>
      </c>
      <c r="AO887" s="107">
        <v>1655.0278</v>
      </c>
      <c r="AP887" s="107">
        <v>390</v>
      </c>
      <c r="AQ887" s="107">
        <v>341.625</v>
      </c>
      <c r="AR887" s="107"/>
      <c r="AS887" s="107"/>
      <c r="AT887" s="107"/>
      <c r="AU887" s="107"/>
      <c r="AV887" s="107"/>
      <c r="AW887" s="107"/>
      <c r="AX887" s="107">
        <v>1434.82249</v>
      </c>
      <c r="AY887" s="106">
        <v>460.13216</v>
      </c>
      <c r="AZ887" s="107"/>
      <c r="BA887" s="107"/>
      <c r="BB887" s="107"/>
      <c r="BC887" s="107">
        <v>1787.80083</v>
      </c>
      <c r="BD887" s="107">
        <v>1753.2957</v>
      </c>
      <c r="BE887" s="107"/>
      <c r="BF887" s="107"/>
      <c r="BG887" s="107"/>
      <c r="BH887" s="107"/>
      <c r="BI887" s="107"/>
      <c r="BJ887" s="107">
        <v>5107.04182</v>
      </c>
      <c r="BK887" s="107"/>
      <c r="BL887" s="107"/>
      <c r="BM887" s="113"/>
      <c r="BN887" s="113"/>
      <c r="BO887" s="113"/>
      <c r="BP887" s="113"/>
      <c r="BQ887" s="115"/>
      <c r="BR887" s="115"/>
      <c r="BS887" s="115"/>
      <c r="BT887" s="115"/>
      <c r="BU887" s="139"/>
    </row>
    <row r="888" spans="1:73" ht="22.5" customHeight="1" outlineLevel="2">
      <c r="A888" s="24" t="s">
        <v>683</v>
      </c>
      <c r="B888" s="19" t="s">
        <v>918</v>
      </c>
      <c r="C888" s="20" t="s">
        <v>1496</v>
      </c>
      <c r="D888" s="218" t="s">
        <v>823</v>
      </c>
      <c r="E888" s="203" t="s">
        <v>2676</v>
      </c>
      <c r="F888" s="108">
        <f t="shared" si="149"/>
        <v>459.17517</v>
      </c>
      <c r="G888" s="106">
        <f t="shared" si="160"/>
        <v>193.5926</v>
      </c>
      <c r="H888" s="106">
        <f t="shared" si="161"/>
        <v>265.58257</v>
      </c>
      <c r="I888" s="107"/>
      <c r="J888" s="107"/>
      <c r="K888" s="107"/>
      <c r="L888" s="107"/>
      <c r="M888" s="107"/>
      <c r="N888" s="107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7">
        <v>30.4</v>
      </c>
      <c r="Z888" s="107">
        <v>79.86</v>
      </c>
      <c r="AA888" s="159">
        <v>70.14144</v>
      </c>
      <c r="AB888" s="106">
        <v>40.01076</v>
      </c>
      <c r="AC888" s="107"/>
      <c r="AD888" s="107"/>
      <c r="AE888" s="107"/>
      <c r="AF888" s="107"/>
      <c r="AG888" s="107"/>
      <c r="AH888" s="107"/>
      <c r="AI888" s="107"/>
      <c r="AJ888" s="108">
        <v>54.46292</v>
      </c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7"/>
      <c r="AV888" s="107"/>
      <c r="AW888" s="107"/>
      <c r="AX888" s="107"/>
      <c r="AY888" s="106"/>
      <c r="AZ888" s="107"/>
      <c r="BA888" s="107"/>
      <c r="BB888" s="107"/>
      <c r="BC888" s="107">
        <v>93.05116</v>
      </c>
      <c r="BD888" s="107">
        <v>91.24889</v>
      </c>
      <c r="BE888" s="107"/>
      <c r="BF888" s="107"/>
      <c r="BG888" s="107"/>
      <c r="BH888" s="107"/>
      <c r="BI888" s="107"/>
      <c r="BJ888" s="107"/>
      <c r="BK888" s="107"/>
      <c r="BL888" s="107"/>
      <c r="BM888" s="107"/>
      <c r="BN888" s="107"/>
      <c r="BO888" s="107"/>
      <c r="BP888" s="107"/>
      <c r="BQ888" s="109"/>
      <c r="BR888" s="109"/>
      <c r="BS888" s="109"/>
      <c r="BT888" s="109"/>
      <c r="BU888" s="138"/>
    </row>
    <row r="889" spans="1:73" ht="22.5" customHeight="1" outlineLevel="2">
      <c r="A889" s="35" t="s">
        <v>683</v>
      </c>
      <c r="B889" s="19" t="s">
        <v>1558</v>
      </c>
      <c r="C889" s="20" t="s">
        <v>1496</v>
      </c>
      <c r="D889" s="218" t="s">
        <v>578</v>
      </c>
      <c r="E889" s="203" t="s">
        <v>2677</v>
      </c>
      <c r="F889" s="108">
        <f t="shared" si="149"/>
        <v>1389.34796</v>
      </c>
      <c r="G889" s="106">
        <f t="shared" si="160"/>
        <v>682.11709</v>
      </c>
      <c r="H889" s="106">
        <f t="shared" si="161"/>
        <v>707.2308700000001</v>
      </c>
      <c r="I889" s="107"/>
      <c r="J889" s="107"/>
      <c r="K889" s="107"/>
      <c r="L889" s="107"/>
      <c r="M889" s="107"/>
      <c r="N889" s="107"/>
      <c r="O889" s="106"/>
      <c r="P889" s="106"/>
      <c r="Q889" s="106"/>
      <c r="R889" s="106"/>
      <c r="S889" s="106">
        <v>89.97548</v>
      </c>
      <c r="T889" s="106">
        <v>44.98775</v>
      </c>
      <c r="U889" s="106"/>
      <c r="V889" s="106"/>
      <c r="W889" s="106">
        <v>291.63232</v>
      </c>
      <c r="X889" s="106">
        <v>152.25249</v>
      </c>
      <c r="Y889" s="107">
        <v>76</v>
      </c>
      <c r="Z889" s="107">
        <v>199.65</v>
      </c>
      <c r="AA889" s="159"/>
      <c r="AB889" s="106"/>
      <c r="AC889" s="107"/>
      <c r="AD889" s="107"/>
      <c r="AE889" s="107"/>
      <c r="AF889" s="107"/>
      <c r="AG889" s="107"/>
      <c r="AH889" s="107"/>
      <c r="AI889" s="107"/>
      <c r="AJ889" s="108">
        <v>90.1722</v>
      </c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7"/>
      <c r="AV889" s="107"/>
      <c r="AW889" s="107"/>
      <c r="AX889" s="107"/>
      <c r="AY889" s="106"/>
      <c r="AZ889" s="107"/>
      <c r="BA889" s="107"/>
      <c r="BB889" s="107"/>
      <c r="BC889" s="107">
        <v>224.50929</v>
      </c>
      <c r="BD889" s="107">
        <v>220.16843</v>
      </c>
      <c r="BE889" s="107"/>
      <c r="BF889" s="107"/>
      <c r="BG889" s="107"/>
      <c r="BH889" s="107"/>
      <c r="BI889" s="107"/>
      <c r="BJ889" s="107"/>
      <c r="BK889" s="107"/>
      <c r="BL889" s="107"/>
      <c r="BM889" s="107"/>
      <c r="BN889" s="107"/>
      <c r="BO889" s="107"/>
      <c r="BP889" s="107"/>
      <c r="BQ889" s="109"/>
      <c r="BR889" s="109"/>
      <c r="BS889" s="109"/>
      <c r="BT889" s="109"/>
      <c r="BU889" s="138"/>
    </row>
    <row r="890" spans="1:73" ht="32.25" customHeight="1" outlineLevel="2">
      <c r="A890" s="35" t="s">
        <v>683</v>
      </c>
      <c r="B890" s="19" t="s">
        <v>1064</v>
      </c>
      <c r="C890" s="20" t="s">
        <v>1496</v>
      </c>
      <c r="D890" s="218" t="s">
        <v>1066</v>
      </c>
      <c r="E890" s="203" t="s">
        <v>2674</v>
      </c>
      <c r="F890" s="108">
        <f t="shared" si="149"/>
        <v>22544.235370000002</v>
      </c>
      <c r="G890" s="106">
        <f t="shared" si="160"/>
        <v>12060.65266</v>
      </c>
      <c r="H890" s="106">
        <f t="shared" si="161"/>
        <v>10483.58271</v>
      </c>
      <c r="I890" s="107"/>
      <c r="J890" s="107"/>
      <c r="K890" s="107">
        <v>374.28305</v>
      </c>
      <c r="L890" s="107">
        <v>93.57079</v>
      </c>
      <c r="M890" s="107"/>
      <c r="N890" s="107"/>
      <c r="O890" s="106"/>
      <c r="P890" s="106"/>
      <c r="Q890" s="106"/>
      <c r="R890" s="106"/>
      <c r="S890" s="106">
        <f>66.31194+1487.56086</f>
        <v>1553.8728</v>
      </c>
      <c r="T890" s="106">
        <v>442.89433</v>
      </c>
      <c r="U890" s="106"/>
      <c r="V890" s="106"/>
      <c r="W890" s="106">
        <v>4986.13637</v>
      </c>
      <c r="X890" s="106">
        <v>2603.11229</v>
      </c>
      <c r="Y890" s="107">
        <v>75.76051</v>
      </c>
      <c r="Z890" s="107">
        <v>199.65</v>
      </c>
      <c r="AA890" s="159">
        <v>1569.95178</v>
      </c>
      <c r="AB890" s="106">
        <v>740.19914</v>
      </c>
      <c r="AC890" s="107"/>
      <c r="AD890" s="107"/>
      <c r="AE890" s="107"/>
      <c r="AF890" s="107"/>
      <c r="AG890" s="107"/>
      <c r="AH890" s="107"/>
      <c r="AI890" s="107"/>
      <c r="AJ890" s="108">
        <v>1024.61628</v>
      </c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7"/>
      <c r="AV890" s="107"/>
      <c r="AW890" s="107"/>
      <c r="AX890" s="107"/>
      <c r="AY890" s="106"/>
      <c r="AZ890" s="107"/>
      <c r="BA890" s="107"/>
      <c r="BB890" s="107"/>
      <c r="BC890" s="107">
        <v>3500.64815</v>
      </c>
      <c r="BD890" s="107">
        <v>3433.1738</v>
      </c>
      <c r="BE890" s="107">
        <v>795.98815</v>
      </c>
      <c r="BF890" s="107"/>
      <c r="BG890" s="107"/>
      <c r="BH890" s="107"/>
      <c r="BI890" s="107"/>
      <c r="BJ890" s="107">
        <v>1150.37793</v>
      </c>
      <c r="BK890" s="107"/>
      <c r="BL890" s="107"/>
      <c r="BM890" s="107"/>
      <c r="BN890" s="107"/>
      <c r="BO890" s="107"/>
      <c r="BP890" s="107"/>
      <c r="BQ890" s="109"/>
      <c r="BR890" s="109"/>
      <c r="BS890" s="109"/>
      <c r="BT890" s="109"/>
      <c r="BU890" s="138"/>
    </row>
    <row r="891" spans="1:73" ht="27.75" customHeight="1" outlineLevel="2">
      <c r="A891" s="35" t="s">
        <v>683</v>
      </c>
      <c r="B891" s="19" t="s">
        <v>1028</v>
      </c>
      <c r="C891" s="20" t="s">
        <v>1496</v>
      </c>
      <c r="D891" s="218" t="s">
        <v>862</v>
      </c>
      <c r="E891" s="203" t="s">
        <v>2675</v>
      </c>
      <c r="F891" s="108">
        <f t="shared" si="149"/>
        <v>3907.69636</v>
      </c>
      <c r="G891" s="106">
        <f t="shared" si="160"/>
        <v>1957.5227800000002</v>
      </c>
      <c r="H891" s="106">
        <f t="shared" si="161"/>
        <v>1950.17358</v>
      </c>
      <c r="I891" s="107"/>
      <c r="J891" s="107"/>
      <c r="K891" s="107">
        <v>925.53719</v>
      </c>
      <c r="L891" s="107">
        <v>131.85549</v>
      </c>
      <c r="M891" s="107"/>
      <c r="N891" s="107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7">
        <v>76</v>
      </c>
      <c r="Z891" s="107">
        <v>199.65</v>
      </c>
      <c r="AA891" s="159">
        <v>435.75952</v>
      </c>
      <c r="AB891" s="106">
        <v>235.70698</v>
      </c>
      <c r="AC891" s="107"/>
      <c r="AD891" s="107"/>
      <c r="AE891" s="107"/>
      <c r="AF891" s="107"/>
      <c r="AG891" s="107"/>
      <c r="AH891" s="107"/>
      <c r="AI891" s="107"/>
      <c r="AJ891" s="108">
        <v>125.793</v>
      </c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7"/>
      <c r="AV891" s="107">
        <v>332.8</v>
      </c>
      <c r="AW891" s="107"/>
      <c r="AX891" s="107"/>
      <c r="AY891" s="106"/>
      <c r="AZ891" s="107"/>
      <c r="BA891" s="107"/>
      <c r="BB891" s="107"/>
      <c r="BC891" s="107">
        <v>520.22607</v>
      </c>
      <c r="BD891" s="107">
        <v>510.18321</v>
      </c>
      <c r="BE891" s="107"/>
      <c r="BF891" s="107"/>
      <c r="BG891" s="107"/>
      <c r="BH891" s="107"/>
      <c r="BI891" s="107"/>
      <c r="BJ891" s="107">
        <v>414.1849</v>
      </c>
      <c r="BK891" s="107"/>
      <c r="BL891" s="107"/>
      <c r="BM891" s="107"/>
      <c r="BN891" s="107"/>
      <c r="BO891" s="107"/>
      <c r="BP891" s="107"/>
      <c r="BQ891" s="109"/>
      <c r="BR891" s="109"/>
      <c r="BS891" s="109"/>
      <c r="BT891" s="109"/>
      <c r="BU891" s="138"/>
    </row>
    <row r="892" spans="1:73" ht="34.5" customHeight="1" outlineLevel="2">
      <c r="A892" s="35" t="s">
        <v>683</v>
      </c>
      <c r="B892" s="19" t="s">
        <v>772</v>
      </c>
      <c r="C892" s="20" t="s">
        <v>1496</v>
      </c>
      <c r="D892" s="218" t="s">
        <v>131</v>
      </c>
      <c r="E892" s="203" t="s">
        <v>2679</v>
      </c>
      <c r="F892" s="108">
        <f t="shared" si="149"/>
        <v>6125.592259999999</v>
      </c>
      <c r="G892" s="106">
        <f t="shared" si="160"/>
        <v>3218.74257</v>
      </c>
      <c r="H892" s="106">
        <f t="shared" si="161"/>
        <v>2906.84969</v>
      </c>
      <c r="I892" s="107"/>
      <c r="J892" s="107"/>
      <c r="K892" s="134"/>
      <c r="L892" s="134"/>
      <c r="M892" s="134"/>
      <c r="N892" s="134"/>
      <c r="O892" s="135"/>
      <c r="P892" s="135"/>
      <c r="Q892" s="135"/>
      <c r="R892" s="135"/>
      <c r="S892" s="135"/>
      <c r="T892" s="135"/>
      <c r="U892" s="135"/>
      <c r="V892" s="135"/>
      <c r="W892" s="135">
        <v>1720.2868</v>
      </c>
      <c r="X892" s="135">
        <v>898.11016</v>
      </c>
      <c r="Y892" s="134"/>
      <c r="Z892" s="107"/>
      <c r="AA892" s="159">
        <v>360.98916</v>
      </c>
      <c r="AB892" s="106">
        <v>290.57322</v>
      </c>
      <c r="AC892" s="134"/>
      <c r="AD892" s="134"/>
      <c r="AE892" s="134"/>
      <c r="AF892" s="134"/>
      <c r="AG892" s="134"/>
      <c r="AH892" s="134"/>
      <c r="AI892" s="134"/>
      <c r="AJ892" s="108">
        <v>232.19496</v>
      </c>
      <c r="AK892" s="134"/>
      <c r="AL892" s="134"/>
      <c r="AM892" s="134"/>
      <c r="AN892" s="134"/>
      <c r="AO892" s="134"/>
      <c r="AP892" s="134"/>
      <c r="AQ892" s="134"/>
      <c r="AR892" s="134"/>
      <c r="AS892" s="134"/>
      <c r="AT892" s="134"/>
      <c r="AU892" s="134"/>
      <c r="AV892" s="134"/>
      <c r="AW892" s="134"/>
      <c r="AX892" s="134"/>
      <c r="AY892" s="135"/>
      <c r="AZ892" s="134"/>
      <c r="BA892" s="107">
        <v>108.22034</v>
      </c>
      <c r="BB892" s="134"/>
      <c r="BC892" s="107">
        <v>1137.46661</v>
      </c>
      <c r="BD892" s="107">
        <v>1115.4897</v>
      </c>
      <c r="BE892" s="107"/>
      <c r="BF892" s="134"/>
      <c r="BG892" s="134"/>
      <c r="BH892" s="134"/>
      <c r="BI892" s="134"/>
      <c r="BJ892" s="134">
        <v>262.26131</v>
      </c>
      <c r="BK892" s="134"/>
      <c r="BL892" s="134"/>
      <c r="BM892" s="134"/>
      <c r="BN892" s="134"/>
      <c r="BO892" s="134"/>
      <c r="BP892" s="134"/>
      <c r="BQ892" s="109"/>
      <c r="BR892" s="109"/>
      <c r="BS892" s="109"/>
      <c r="BT892" s="109"/>
      <c r="BU892" s="138"/>
    </row>
    <row r="893" spans="1:73" ht="33" customHeight="1" outlineLevel="2">
      <c r="A893" s="24" t="s">
        <v>683</v>
      </c>
      <c r="B893" s="19" t="s">
        <v>641</v>
      </c>
      <c r="C893" s="20" t="s">
        <v>1496</v>
      </c>
      <c r="D893" s="218" t="s">
        <v>863</v>
      </c>
      <c r="E893" s="203" t="s">
        <v>2668</v>
      </c>
      <c r="F893" s="108">
        <f t="shared" si="149"/>
        <v>13558.42727</v>
      </c>
      <c r="G893" s="106">
        <f t="shared" si="160"/>
        <v>6477.8750199999995</v>
      </c>
      <c r="H893" s="106">
        <f t="shared" si="161"/>
        <v>7080.55225</v>
      </c>
      <c r="I893" s="107"/>
      <c r="J893" s="107"/>
      <c r="K893" s="134"/>
      <c r="L893" s="134"/>
      <c r="M893" s="134">
        <v>75.66536</v>
      </c>
      <c r="N893" s="134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4">
        <v>75.76051</v>
      </c>
      <c r="Z893" s="107">
        <v>239.58</v>
      </c>
      <c r="AA893" s="159">
        <f>2782.37173+423.28533</f>
        <v>3205.65706</v>
      </c>
      <c r="AB893" s="106">
        <f>1157.14299+297.10964</f>
        <v>1454.25263</v>
      </c>
      <c r="AC893" s="134"/>
      <c r="AD893" s="134"/>
      <c r="AE893" s="134"/>
      <c r="AF893" s="134"/>
      <c r="AG893" s="134"/>
      <c r="AH893" s="134"/>
      <c r="AI893" s="134"/>
      <c r="AJ893" s="108">
        <v>962.3260399999999</v>
      </c>
      <c r="AK893" s="134"/>
      <c r="AL893" s="134"/>
      <c r="AM893" s="134"/>
      <c r="AN893" s="134"/>
      <c r="AO893" s="134"/>
      <c r="AP893" s="134"/>
      <c r="AQ893" s="134"/>
      <c r="AR893" s="134"/>
      <c r="AS893" s="134"/>
      <c r="AT893" s="134"/>
      <c r="AU893" s="134"/>
      <c r="AV893" s="134"/>
      <c r="AW893" s="134"/>
      <c r="AX893" s="134"/>
      <c r="AY893" s="135"/>
      <c r="AZ893" s="134"/>
      <c r="BA893" s="107">
        <v>109.97539</v>
      </c>
      <c r="BB893" s="134"/>
      <c r="BC893" s="107">
        <v>3196.45745</v>
      </c>
      <c r="BD893" s="107">
        <v>3134.7911</v>
      </c>
      <c r="BE893" s="107">
        <v>25.12986</v>
      </c>
      <c r="BF893" s="134"/>
      <c r="BG893" s="134"/>
      <c r="BH893" s="134"/>
      <c r="BI893" s="134"/>
      <c r="BJ893" s="134">
        <v>1078.83187</v>
      </c>
      <c r="BK893" s="134"/>
      <c r="BL893" s="134"/>
      <c r="BM893" s="134"/>
      <c r="BN893" s="134"/>
      <c r="BO893" s="134"/>
      <c r="BP893" s="134"/>
      <c r="BQ893" s="109"/>
      <c r="BR893" s="109"/>
      <c r="BS893" s="109"/>
      <c r="BT893" s="109"/>
      <c r="BU893" s="138"/>
    </row>
    <row r="894" spans="1:73" s="55" customFormat="1" ht="37.5" customHeight="1" outlineLevel="2">
      <c r="A894" s="35" t="s">
        <v>683</v>
      </c>
      <c r="B894" s="19" t="s">
        <v>137</v>
      </c>
      <c r="C894" s="20" t="s">
        <v>1496</v>
      </c>
      <c r="D894" s="218" t="s">
        <v>961</v>
      </c>
      <c r="E894" s="203" t="s">
        <v>2669</v>
      </c>
      <c r="F894" s="108">
        <f t="shared" si="149"/>
        <v>44701.96245</v>
      </c>
      <c r="G894" s="106">
        <f t="shared" si="160"/>
        <v>20479.66201</v>
      </c>
      <c r="H894" s="106">
        <f t="shared" si="161"/>
        <v>24222.30044</v>
      </c>
      <c r="I894" s="107">
        <v>1149.81041</v>
      </c>
      <c r="J894" s="107">
        <v>256.84548</v>
      </c>
      <c r="K894" s="107">
        <v>1912.75372</v>
      </c>
      <c r="L894" s="107">
        <v>535.1578</v>
      </c>
      <c r="M894" s="107">
        <v>567.90395</v>
      </c>
      <c r="N894" s="107"/>
      <c r="O894" s="106"/>
      <c r="P894" s="106"/>
      <c r="Q894" s="106"/>
      <c r="R894" s="106"/>
      <c r="S894" s="106">
        <v>850.1583</v>
      </c>
      <c r="T894" s="106">
        <v>186.60342</v>
      </c>
      <c r="U894" s="106"/>
      <c r="V894" s="106"/>
      <c r="W894" s="106"/>
      <c r="X894" s="106"/>
      <c r="Y894" s="107">
        <v>212.8</v>
      </c>
      <c r="Z894" s="107">
        <v>559.02</v>
      </c>
      <c r="AA894" s="159">
        <v>1698.9329</v>
      </c>
      <c r="AB894" s="106">
        <v>913.90924</v>
      </c>
      <c r="AC894" s="107"/>
      <c r="AD894" s="107"/>
      <c r="AE894" s="107"/>
      <c r="AF894" s="107"/>
      <c r="AG894" s="107"/>
      <c r="AH894" s="107"/>
      <c r="AI894" s="107"/>
      <c r="AJ894" s="108">
        <v>2053.59532</v>
      </c>
      <c r="AK894" s="107">
        <v>190.3989</v>
      </c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7"/>
      <c r="AV894" s="107"/>
      <c r="AW894" s="107"/>
      <c r="AX894" s="107">
        <v>7143.89735</v>
      </c>
      <c r="AY894" s="106">
        <v>3255.74787</v>
      </c>
      <c r="AZ894" s="107">
        <v>3539.7</v>
      </c>
      <c r="BA894" s="107"/>
      <c r="BB894" s="107"/>
      <c r="BC894" s="107">
        <v>7511.30933</v>
      </c>
      <c r="BD894" s="107">
        <v>7366.40817</v>
      </c>
      <c r="BE894" s="107">
        <v>51.07569</v>
      </c>
      <c r="BF894" s="107"/>
      <c r="BG894" s="107"/>
      <c r="BH894" s="107"/>
      <c r="BI894" s="107"/>
      <c r="BJ894" s="107">
        <v>3633.05552</v>
      </c>
      <c r="BK894" s="107"/>
      <c r="BL894" s="107"/>
      <c r="BM894" s="107">
        <v>1112.87908</v>
      </c>
      <c r="BN894" s="107"/>
      <c r="BO894" s="107"/>
      <c r="BP894" s="107"/>
      <c r="BQ894" s="109"/>
      <c r="BR894" s="109"/>
      <c r="BS894" s="109"/>
      <c r="BT894" s="109"/>
      <c r="BU894" s="144"/>
    </row>
    <row r="895" spans="1:73" ht="30.75" customHeight="1" outlineLevel="2">
      <c r="A895" s="35" t="s">
        <v>683</v>
      </c>
      <c r="B895" s="19" t="s">
        <v>363</v>
      </c>
      <c r="C895" s="20" t="s">
        <v>1496</v>
      </c>
      <c r="D895" s="218" t="s">
        <v>624</v>
      </c>
      <c r="E895" s="203" t="s">
        <v>2668</v>
      </c>
      <c r="F895" s="108">
        <f t="shared" si="149"/>
        <v>2098.61994</v>
      </c>
      <c r="G895" s="106">
        <f t="shared" si="160"/>
        <v>756.17962</v>
      </c>
      <c r="H895" s="106">
        <f t="shared" si="161"/>
        <v>1342.4403200000002</v>
      </c>
      <c r="I895" s="107"/>
      <c r="J895" s="107"/>
      <c r="K895" s="107"/>
      <c r="L895" s="107"/>
      <c r="M895" s="107"/>
      <c r="N895" s="107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7">
        <v>16.83567</v>
      </c>
      <c r="Z895" s="107">
        <v>79.86</v>
      </c>
      <c r="AA895" s="159">
        <v>159.55059</v>
      </c>
      <c r="AB895" s="106">
        <v>66.35449</v>
      </c>
      <c r="AC895" s="107"/>
      <c r="AD895" s="107"/>
      <c r="AE895" s="107"/>
      <c r="AF895" s="107"/>
      <c r="AG895" s="107"/>
      <c r="AH895" s="107"/>
      <c r="AI895" s="107"/>
      <c r="AJ895" s="108">
        <v>175.5808</v>
      </c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7"/>
      <c r="AV895" s="107"/>
      <c r="AW895" s="107"/>
      <c r="AX895" s="107"/>
      <c r="AY895" s="106"/>
      <c r="AZ895" s="107"/>
      <c r="BA895" s="107"/>
      <c r="BB895" s="107"/>
      <c r="BC895" s="107">
        <v>579.79336</v>
      </c>
      <c r="BD895" s="107">
        <v>568.61846</v>
      </c>
      <c r="BE895" s="107"/>
      <c r="BF895" s="107"/>
      <c r="BG895" s="107"/>
      <c r="BH895" s="107"/>
      <c r="BI895" s="107"/>
      <c r="BJ895" s="107">
        <v>452.02657</v>
      </c>
      <c r="BK895" s="107"/>
      <c r="BL895" s="107"/>
      <c r="BM895" s="107"/>
      <c r="BN895" s="107"/>
      <c r="BO895" s="107"/>
      <c r="BP895" s="107"/>
      <c r="BQ895" s="109"/>
      <c r="BR895" s="109"/>
      <c r="BS895" s="109"/>
      <c r="BT895" s="109"/>
      <c r="BU895" s="138"/>
    </row>
    <row r="896" spans="1:73" ht="22.5" customHeight="1" outlineLevel="2">
      <c r="A896" s="35" t="s">
        <v>683</v>
      </c>
      <c r="B896" s="19" t="s">
        <v>1034</v>
      </c>
      <c r="C896" s="78" t="s">
        <v>1496</v>
      </c>
      <c r="D896" s="277" t="s">
        <v>1063</v>
      </c>
      <c r="E896" s="203" t="s">
        <v>2668</v>
      </c>
      <c r="F896" s="108">
        <f t="shared" si="149"/>
        <v>6074.31675</v>
      </c>
      <c r="G896" s="106">
        <f t="shared" si="160"/>
        <v>1825.37084</v>
      </c>
      <c r="H896" s="106">
        <f t="shared" si="161"/>
        <v>4248.94591</v>
      </c>
      <c r="I896" s="107"/>
      <c r="J896" s="107"/>
      <c r="K896" s="107">
        <v>776.1859</v>
      </c>
      <c r="L896" s="107">
        <v>101.12336</v>
      </c>
      <c r="M896" s="134"/>
      <c r="N896" s="134"/>
      <c r="O896" s="135"/>
      <c r="P896" s="135"/>
      <c r="Q896" s="106">
        <v>0.58405</v>
      </c>
      <c r="R896" s="135"/>
      <c r="S896" s="135"/>
      <c r="T896" s="135"/>
      <c r="U896" s="135"/>
      <c r="V896" s="135"/>
      <c r="W896" s="135"/>
      <c r="X896" s="135"/>
      <c r="Y896" s="134"/>
      <c r="Z896" s="107"/>
      <c r="AA896" s="159">
        <v>296.71646</v>
      </c>
      <c r="AB896" s="106">
        <v>123.39954</v>
      </c>
      <c r="AC896" s="134"/>
      <c r="AD896" s="134"/>
      <c r="AE896" s="134"/>
      <c r="AF896" s="134"/>
      <c r="AG896" s="134"/>
      <c r="AH896" s="134"/>
      <c r="AI896" s="134"/>
      <c r="AJ896" s="108">
        <v>209.62152</v>
      </c>
      <c r="AK896" s="134"/>
      <c r="AL896" s="134"/>
      <c r="AM896" s="134"/>
      <c r="AN896" s="134"/>
      <c r="AO896" s="134"/>
      <c r="AP896" s="134"/>
      <c r="AQ896" s="134"/>
      <c r="AR896" s="134"/>
      <c r="AS896" s="134"/>
      <c r="AT896" s="134"/>
      <c r="AU896" s="134"/>
      <c r="AV896" s="134"/>
      <c r="AW896" s="134"/>
      <c r="AX896" s="134"/>
      <c r="AY896" s="135"/>
      <c r="AZ896" s="134"/>
      <c r="BA896" s="107">
        <v>60.42995</v>
      </c>
      <c r="BB896" s="134"/>
      <c r="BC896" s="124">
        <v>752.46848</v>
      </c>
      <c r="BD896" s="124">
        <v>737.97536</v>
      </c>
      <c r="BE896" s="134"/>
      <c r="BF896" s="134"/>
      <c r="BG896" s="134"/>
      <c r="BH896" s="134"/>
      <c r="BI896" s="134"/>
      <c r="BJ896" s="134">
        <v>3015.81213</v>
      </c>
      <c r="BK896" s="134"/>
      <c r="BL896" s="134"/>
      <c r="BM896" s="134"/>
      <c r="BN896" s="134"/>
      <c r="BO896" s="134"/>
      <c r="BP896" s="134"/>
      <c r="BQ896" s="109"/>
      <c r="BR896" s="109"/>
      <c r="BS896" s="109"/>
      <c r="BT896" s="109"/>
      <c r="BU896" s="138"/>
    </row>
    <row r="897" spans="1:73" ht="38.25" customHeight="1" outlineLevel="2">
      <c r="A897" s="35" t="s">
        <v>683</v>
      </c>
      <c r="B897" s="19" t="s">
        <v>1636</v>
      </c>
      <c r="C897" s="20" t="s">
        <v>587</v>
      </c>
      <c r="D897" s="218" t="s">
        <v>1681</v>
      </c>
      <c r="E897" s="220" t="s">
        <v>2680</v>
      </c>
      <c r="F897" s="108">
        <f t="shared" si="149"/>
        <v>574.87816</v>
      </c>
      <c r="G897" s="106">
        <f t="shared" si="160"/>
        <v>374.33019</v>
      </c>
      <c r="H897" s="106">
        <f t="shared" si="161"/>
        <v>200.54797</v>
      </c>
      <c r="I897" s="107"/>
      <c r="J897" s="107"/>
      <c r="K897" s="107"/>
      <c r="L897" s="107"/>
      <c r="M897" s="107"/>
      <c r="N897" s="107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7">
        <v>101.01401</v>
      </c>
      <c r="Z897" s="107"/>
      <c r="AA897" s="106">
        <v>148.43761</v>
      </c>
      <c r="AB897" s="106">
        <v>67.34485</v>
      </c>
      <c r="AC897" s="107"/>
      <c r="AD897" s="107"/>
      <c r="AE897" s="107"/>
      <c r="AF897" s="107"/>
      <c r="AG897" s="107"/>
      <c r="AH897" s="107"/>
      <c r="AI897" s="107"/>
      <c r="AJ897" s="108">
        <v>10.7544</v>
      </c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7"/>
      <c r="AV897" s="107"/>
      <c r="AW897" s="107"/>
      <c r="AX897" s="107"/>
      <c r="AY897" s="106"/>
      <c r="AZ897" s="107"/>
      <c r="BA897" s="107"/>
      <c r="BB897" s="107"/>
      <c r="BC897" s="107">
        <v>124.87857</v>
      </c>
      <c r="BD897" s="107">
        <v>122.44872</v>
      </c>
      <c r="BE897" s="107"/>
      <c r="BF897" s="107"/>
      <c r="BG897" s="107"/>
      <c r="BH897" s="107"/>
      <c r="BI897" s="107"/>
      <c r="BJ897" s="107"/>
      <c r="BK897" s="107"/>
      <c r="BL897" s="107"/>
      <c r="BM897" s="107"/>
      <c r="BN897" s="107"/>
      <c r="BO897" s="107"/>
      <c r="BP897" s="107"/>
      <c r="BQ897" s="109"/>
      <c r="BR897" s="109"/>
      <c r="BS897" s="109"/>
      <c r="BT897" s="109"/>
      <c r="BU897" s="138"/>
    </row>
    <row r="898" spans="1:73" ht="38.25" customHeight="1" outlineLevel="2">
      <c r="A898" s="24" t="s">
        <v>683</v>
      </c>
      <c r="B898" s="19" t="s">
        <v>967</v>
      </c>
      <c r="C898" s="20" t="s">
        <v>587</v>
      </c>
      <c r="D898" s="218" t="s">
        <v>650</v>
      </c>
      <c r="E898" s="220" t="s">
        <v>2681</v>
      </c>
      <c r="F898" s="108">
        <f t="shared" si="149"/>
        <v>645.2880299999999</v>
      </c>
      <c r="G898" s="106">
        <f t="shared" si="160"/>
        <v>187.49074</v>
      </c>
      <c r="H898" s="106">
        <f t="shared" si="161"/>
        <v>457.79729</v>
      </c>
      <c r="I898" s="107"/>
      <c r="J898" s="107"/>
      <c r="K898" s="107"/>
      <c r="L898" s="107"/>
      <c r="M898" s="107"/>
      <c r="N898" s="107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7">
        <v>60.8</v>
      </c>
      <c r="Z898" s="107">
        <v>159.72</v>
      </c>
      <c r="AA898" s="159">
        <v>76.20327</v>
      </c>
      <c r="AB898" s="106">
        <v>39.61462</v>
      </c>
      <c r="AC898" s="107"/>
      <c r="AD898" s="107"/>
      <c r="AE898" s="107"/>
      <c r="AF898" s="107"/>
      <c r="AG898" s="107"/>
      <c r="AH898" s="107"/>
      <c r="AI898" s="107"/>
      <c r="AJ898" s="108">
        <v>19.171239999999997</v>
      </c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7">
        <v>40.02</v>
      </c>
      <c r="AV898" s="107">
        <v>149.76</v>
      </c>
      <c r="AW898" s="107"/>
      <c r="AX898" s="107"/>
      <c r="AY898" s="106"/>
      <c r="AZ898" s="107"/>
      <c r="BA898" s="107"/>
      <c r="BB898" s="107"/>
      <c r="BC898" s="107">
        <v>50.48747</v>
      </c>
      <c r="BD898" s="107">
        <v>49.51143</v>
      </c>
      <c r="BE898" s="107"/>
      <c r="BF898" s="107"/>
      <c r="BG898" s="107"/>
      <c r="BH898" s="107"/>
      <c r="BI898" s="107"/>
      <c r="BJ898" s="107"/>
      <c r="BK898" s="107"/>
      <c r="BL898" s="107"/>
      <c r="BM898" s="107"/>
      <c r="BN898" s="107"/>
      <c r="BO898" s="107"/>
      <c r="BP898" s="107"/>
      <c r="BQ898" s="109"/>
      <c r="BR898" s="109"/>
      <c r="BS898" s="109"/>
      <c r="BT898" s="109"/>
      <c r="BU898" s="138"/>
    </row>
    <row r="899" spans="1:73" ht="38.25" customHeight="1" outlineLevel="2">
      <c r="A899" s="24" t="s">
        <v>683</v>
      </c>
      <c r="B899" s="19" t="s">
        <v>168</v>
      </c>
      <c r="C899" s="20" t="s">
        <v>587</v>
      </c>
      <c r="D899" s="218" t="s">
        <v>651</v>
      </c>
      <c r="E899" s="220" t="s">
        <v>2682</v>
      </c>
      <c r="F899" s="108">
        <f t="shared" si="149"/>
        <v>10.162769999999998</v>
      </c>
      <c r="G899" s="106">
        <f t="shared" si="160"/>
        <v>5.13111</v>
      </c>
      <c r="H899" s="106">
        <f t="shared" si="161"/>
        <v>5.03166</v>
      </c>
      <c r="I899" s="107"/>
      <c r="J899" s="107"/>
      <c r="K899" s="107"/>
      <c r="L899" s="107"/>
      <c r="M899" s="107"/>
      <c r="N899" s="107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7"/>
      <c r="Z899" s="107"/>
      <c r="AA899" s="159"/>
      <c r="AB899" s="106"/>
      <c r="AC899" s="107"/>
      <c r="AD899" s="107"/>
      <c r="AE899" s="107"/>
      <c r="AF899" s="107"/>
      <c r="AG899" s="107"/>
      <c r="AH899" s="107"/>
      <c r="AI899" s="107"/>
      <c r="AJ899" s="108">
        <v>0</v>
      </c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7"/>
      <c r="AV899" s="107"/>
      <c r="AW899" s="107"/>
      <c r="AX899" s="107"/>
      <c r="AY899" s="106"/>
      <c r="AZ899" s="107"/>
      <c r="BA899" s="107"/>
      <c r="BB899" s="107"/>
      <c r="BC899" s="107">
        <v>5.13111</v>
      </c>
      <c r="BD899" s="107">
        <v>5.03166</v>
      </c>
      <c r="BE899" s="107"/>
      <c r="BF899" s="107"/>
      <c r="BG899" s="107"/>
      <c r="BH899" s="107"/>
      <c r="BI899" s="107"/>
      <c r="BJ899" s="107"/>
      <c r="BK899" s="107"/>
      <c r="BL899" s="107"/>
      <c r="BM899" s="107"/>
      <c r="BN899" s="107"/>
      <c r="BO899" s="107"/>
      <c r="BP899" s="107"/>
      <c r="BQ899" s="109"/>
      <c r="BR899" s="109"/>
      <c r="BS899" s="109"/>
      <c r="BT899" s="109"/>
      <c r="BU899" s="138"/>
    </row>
    <row r="900" spans="1:73" ht="38.25" customHeight="1" outlineLevel="2">
      <c r="A900" s="24" t="s">
        <v>683</v>
      </c>
      <c r="B900" s="19" t="s">
        <v>451</v>
      </c>
      <c r="C900" s="20" t="s">
        <v>587</v>
      </c>
      <c r="D900" s="218" t="s">
        <v>660</v>
      </c>
      <c r="E900" s="220" t="s">
        <v>2683</v>
      </c>
      <c r="F900" s="108">
        <f t="shared" si="149"/>
        <v>935.00964</v>
      </c>
      <c r="G900" s="106">
        <f t="shared" si="160"/>
        <v>409.89681</v>
      </c>
      <c r="H900" s="106">
        <f t="shared" si="161"/>
        <v>525.11283</v>
      </c>
      <c r="I900" s="107"/>
      <c r="J900" s="107"/>
      <c r="K900" s="107"/>
      <c r="L900" s="107"/>
      <c r="M900" s="107"/>
      <c r="N900" s="107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7">
        <v>84.03042</v>
      </c>
      <c r="Z900" s="107">
        <v>283.1037</v>
      </c>
      <c r="AA900" s="159">
        <v>213.32945</v>
      </c>
      <c r="AB900" s="106">
        <v>99.03655</v>
      </c>
      <c r="AC900" s="107"/>
      <c r="AD900" s="107"/>
      <c r="AE900" s="107"/>
      <c r="AF900" s="107"/>
      <c r="AG900" s="107"/>
      <c r="AH900" s="107"/>
      <c r="AI900" s="107"/>
      <c r="AJ900" s="108">
        <v>32.61424</v>
      </c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7"/>
      <c r="AV900" s="107"/>
      <c r="AW900" s="107"/>
      <c r="AX900" s="107"/>
      <c r="AY900" s="106"/>
      <c r="AZ900" s="107"/>
      <c r="BA900" s="107"/>
      <c r="BB900" s="107"/>
      <c r="BC900" s="107">
        <v>112.53694</v>
      </c>
      <c r="BD900" s="107">
        <v>110.35834</v>
      </c>
      <c r="BE900" s="107"/>
      <c r="BF900" s="107"/>
      <c r="BG900" s="107"/>
      <c r="BH900" s="107"/>
      <c r="BI900" s="107"/>
      <c r="BJ900" s="107"/>
      <c r="BK900" s="107"/>
      <c r="BL900" s="107"/>
      <c r="BM900" s="107"/>
      <c r="BN900" s="107"/>
      <c r="BO900" s="107"/>
      <c r="BP900" s="107"/>
      <c r="BQ900" s="109"/>
      <c r="BR900" s="109"/>
      <c r="BS900" s="109"/>
      <c r="BT900" s="109"/>
      <c r="BU900" s="138"/>
    </row>
    <row r="901" spans="1:73" ht="38.25" customHeight="1" outlineLevel="2">
      <c r="A901" s="24" t="s">
        <v>683</v>
      </c>
      <c r="B901" s="19" t="s">
        <v>1633</v>
      </c>
      <c r="C901" s="20" t="s">
        <v>587</v>
      </c>
      <c r="D901" s="218" t="s">
        <v>1682</v>
      </c>
      <c r="E901" s="220" t="s">
        <v>2684</v>
      </c>
      <c r="F901" s="108">
        <f t="shared" si="149"/>
        <v>12.02966</v>
      </c>
      <c r="G901" s="106">
        <f t="shared" si="160"/>
        <v>6.07392</v>
      </c>
      <c r="H901" s="106">
        <f t="shared" si="161"/>
        <v>5.9557400000000005</v>
      </c>
      <c r="I901" s="107"/>
      <c r="J901" s="107"/>
      <c r="K901" s="107"/>
      <c r="L901" s="107"/>
      <c r="M901" s="107"/>
      <c r="N901" s="107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7"/>
      <c r="Z901" s="107"/>
      <c r="AA901" s="159"/>
      <c r="AB901" s="106"/>
      <c r="AC901" s="107"/>
      <c r="AD901" s="107"/>
      <c r="AE901" s="107"/>
      <c r="AF901" s="107"/>
      <c r="AG901" s="107"/>
      <c r="AH901" s="107"/>
      <c r="AI901" s="107"/>
      <c r="AJ901" s="108">
        <v>0</v>
      </c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7"/>
      <c r="AV901" s="107"/>
      <c r="AW901" s="107"/>
      <c r="AX901" s="107"/>
      <c r="AY901" s="106"/>
      <c r="AZ901" s="107"/>
      <c r="BA901" s="107"/>
      <c r="BB901" s="107"/>
      <c r="BC901" s="107">
        <f>7.55454-1.48062</f>
        <v>6.07392</v>
      </c>
      <c r="BD901" s="107">
        <f>7.4093-1.45356</f>
        <v>5.9557400000000005</v>
      </c>
      <c r="BE901" s="107"/>
      <c r="BF901" s="107"/>
      <c r="BG901" s="107"/>
      <c r="BH901" s="107"/>
      <c r="BI901" s="107"/>
      <c r="BJ901" s="107"/>
      <c r="BK901" s="107"/>
      <c r="BL901" s="107"/>
      <c r="BM901" s="107"/>
      <c r="BN901" s="107"/>
      <c r="BO901" s="107"/>
      <c r="BP901" s="107"/>
      <c r="BQ901" s="109"/>
      <c r="BR901" s="109"/>
      <c r="BS901" s="109"/>
      <c r="BT901" s="109"/>
      <c r="BU901" s="138"/>
    </row>
    <row r="902" spans="1:73" ht="38.25" customHeight="1" outlineLevel="2">
      <c r="A902" s="24" t="s">
        <v>683</v>
      </c>
      <c r="B902" s="19" t="s">
        <v>1205</v>
      </c>
      <c r="C902" s="20" t="s">
        <v>587</v>
      </c>
      <c r="D902" s="218" t="s">
        <v>1162</v>
      </c>
      <c r="E902" s="220" t="s">
        <v>2685</v>
      </c>
      <c r="F902" s="108">
        <f t="shared" si="149"/>
        <v>1375.54337</v>
      </c>
      <c r="G902" s="106">
        <f t="shared" si="160"/>
        <v>507.79451</v>
      </c>
      <c r="H902" s="106">
        <f t="shared" si="161"/>
        <v>867.7488600000001</v>
      </c>
      <c r="I902" s="107"/>
      <c r="J902" s="107"/>
      <c r="K902" s="107"/>
      <c r="L902" s="107"/>
      <c r="M902" s="107"/>
      <c r="N902" s="107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7">
        <v>182.99317</v>
      </c>
      <c r="Z902" s="107">
        <v>569.8011</v>
      </c>
      <c r="AA902" s="159">
        <v>122.24274</v>
      </c>
      <c r="AB902" s="106">
        <v>43.57608</v>
      </c>
      <c r="AC902" s="107"/>
      <c r="AD902" s="107"/>
      <c r="AE902" s="107"/>
      <c r="AF902" s="107"/>
      <c r="AG902" s="107"/>
      <c r="AH902" s="107"/>
      <c r="AI902" s="107"/>
      <c r="AJ902" s="108">
        <v>55.72504</v>
      </c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7"/>
      <c r="AV902" s="107"/>
      <c r="AW902" s="107"/>
      <c r="AX902" s="107"/>
      <c r="AY902" s="106"/>
      <c r="AZ902" s="107"/>
      <c r="BA902" s="107"/>
      <c r="BB902" s="107"/>
      <c r="BC902" s="107">
        <v>202.5586</v>
      </c>
      <c r="BD902" s="107">
        <v>198.64664</v>
      </c>
      <c r="BE902" s="107"/>
      <c r="BF902" s="107"/>
      <c r="BG902" s="107"/>
      <c r="BH902" s="107"/>
      <c r="BI902" s="107"/>
      <c r="BJ902" s="107"/>
      <c r="BK902" s="107"/>
      <c r="BL902" s="107"/>
      <c r="BM902" s="107"/>
      <c r="BN902" s="107"/>
      <c r="BO902" s="107"/>
      <c r="BP902" s="107"/>
      <c r="BQ902" s="109"/>
      <c r="BR902" s="109"/>
      <c r="BS902" s="109"/>
      <c r="BT902" s="109"/>
      <c r="BU902" s="138"/>
    </row>
    <row r="903" spans="1:73" ht="38.25" customHeight="1" outlineLevel="2">
      <c r="A903" s="24" t="s">
        <v>683</v>
      </c>
      <c r="B903" s="19" t="s">
        <v>1206</v>
      </c>
      <c r="C903" s="20" t="s">
        <v>587</v>
      </c>
      <c r="D903" s="218" t="s">
        <v>822</v>
      </c>
      <c r="E903" s="220" t="s">
        <v>2686</v>
      </c>
      <c r="F903" s="108">
        <f t="shared" si="149"/>
        <v>1210.75626</v>
      </c>
      <c r="G903" s="106">
        <f t="shared" si="160"/>
        <v>477.92536</v>
      </c>
      <c r="H903" s="106">
        <f t="shared" si="161"/>
        <v>732.8309</v>
      </c>
      <c r="I903" s="107"/>
      <c r="J903" s="107"/>
      <c r="K903" s="107"/>
      <c r="L903" s="107"/>
      <c r="M903" s="107"/>
      <c r="N903" s="107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7">
        <v>113.088</v>
      </c>
      <c r="Z903" s="107">
        <v>297.0792</v>
      </c>
      <c r="AA903" s="159">
        <v>105.37483</v>
      </c>
      <c r="AB903" s="106">
        <v>35.65316</v>
      </c>
      <c r="AC903" s="107"/>
      <c r="AD903" s="107"/>
      <c r="AE903" s="107"/>
      <c r="AF903" s="107"/>
      <c r="AG903" s="107"/>
      <c r="AH903" s="107"/>
      <c r="AI903" s="107"/>
      <c r="AJ903" s="108">
        <v>85.63952</v>
      </c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7"/>
      <c r="AV903" s="107"/>
      <c r="AW903" s="107"/>
      <c r="AX903" s="107"/>
      <c r="AY903" s="106"/>
      <c r="AZ903" s="107"/>
      <c r="BA903" s="107"/>
      <c r="BB903" s="107"/>
      <c r="BC903" s="107">
        <v>259.46253</v>
      </c>
      <c r="BD903" s="107">
        <v>254.45902</v>
      </c>
      <c r="BE903" s="107">
        <v>60</v>
      </c>
      <c r="BF903" s="107"/>
      <c r="BG903" s="107"/>
      <c r="BH903" s="107"/>
      <c r="BI903" s="107"/>
      <c r="BJ903" s="107"/>
      <c r="BK903" s="107"/>
      <c r="BL903" s="107"/>
      <c r="BM903" s="107"/>
      <c r="BN903" s="107"/>
      <c r="BO903" s="107"/>
      <c r="BP903" s="107"/>
      <c r="BQ903" s="109"/>
      <c r="BR903" s="109"/>
      <c r="BS903" s="109"/>
      <c r="BT903" s="109"/>
      <c r="BU903" s="138"/>
    </row>
    <row r="904" spans="1:73" ht="38.25" customHeight="1" outlineLevel="2">
      <c r="A904" s="24" t="s">
        <v>683</v>
      </c>
      <c r="B904" s="19" t="s">
        <v>1207</v>
      </c>
      <c r="C904" s="20" t="s">
        <v>587</v>
      </c>
      <c r="D904" s="218" t="s">
        <v>1161</v>
      </c>
      <c r="E904" s="220" t="s">
        <v>2687</v>
      </c>
      <c r="F904" s="108">
        <f t="shared" si="149"/>
        <v>579.18615</v>
      </c>
      <c r="G904" s="106">
        <f t="shared" si="160"/>
        <v>220.32096</v>
      </c>
      <c r="H904" s="106">
        <f t="shared" si="161"/>
        <v>358.86519</v>
      </c>
      <c r="I904" s="107"/>
      <c r="J904" s="107"/>
      <c r="K904" s="107"/>
      <c r="L904" s="107"/>
      <c r="M904" s="107"/>
      <c r="N904" s="107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7"/>
      <c r="Z904" s="107"/>
      <c r="AA904" s="159">
        <v>103.65629</v>
      </c>
      <c r="AB904" s="106">
        <v>51.499</v>
      </c>
      <c r="AC904" s="107"/>
      <c r="AD904" s="107"/>
      <c r="AE904" s="107"/>
      <c r="AF904" s="107"/>
      <c r="AG904" s="107"/>
      <c r="AH904" s="107"/>
      <c r="AI904" s="107"/>
      <c r="AJ904" s="108">
        <v>35.65388</v>
      </c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7"/>
      <c r="AV904" s="107"/>
      <c r="AW904" s="107"/>
      <c r="AX904" s="107"/>
      <c r="AY904" s="106"/>
      <c r="AZ904" s="107"/>
      <c r="BA904" s="107"/>
      <c r="BB904" s="107"/>
      <c r="BC904" s="107">
        <v>116.66467</v>
      </c>
      <c r="BD904" s="107">
        <v>114.41542</v>
      </c>
      <c r="BE904" s="107"/>
      <c r="BF904" s="107"/>
      <c r="BG904" s="107"/>
      <c r="BH904" s="107"/>
      <c r="BI904" s="107"/>
      <c r="BJ904" s="107">
        <v>157.29689</v>
      </c>
      <c r="BK904" s="107"/>
      <c r="BL904" s="107"/>
      <c r="BM904" s="107"/>
      <c r="BN904" s="107"/>
      <c r="BO904" s="107"/>
      <c r="BP904" s="107"/>
      <c r="BQ904" s="109"/>
      <c r="BR904" s="109"/>
      <c r="BS904" s="109"/>
      <c r="BT904" s="109"/>
      <c r="BU904" s="138"/>
    </row>
    <row r="905" spans="1:73" ht="38.25" customHeight="1" outlineLevel="2">
      <c r="A905" s="24" t="s">
        <v>683</v>
      </c>
      <c r="B905" s="19" t="s">
        <v>1208</v>
      </c>
      <c r="C905" s="20" t="s">
        <v>587</v>
      </c>
      <c r="D905" s="218" t="s">
        <v>645</v>
      </c>
      <c r="E905" s="220" t="s">
        <v>2688</v>
      </c>
      <c r="F905" s="108">
        <f t="shared" si="149"/>
        <v>580.3671400000001</v>
      </c>
      <c r="G905" s="106">
        <f t="shared" si="160"/>
        <v>247.40456</v>
      </c>
      <c r="H905" s="106">
        <f t="shared" si="161"/>
        <v>332.96258</v>
      </c>
      <c r="I905" s="107"/>
      <c r="J905" s="107"/>
      <c r="K905" s="107"/>
      <c r="L905" s="107"/>
      <c r="M905" s="107"/>
      <c r="N905" s="107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7">
        <v>76</v>
      </c>
      <c r="Z905" s="107">
        <v>199.65</v>
      </c>
      <c r="AA905" s="159">
        <v>98.15139</v>
      </c>
      <c r="AB905" s="106">
        <v>39.61462</v>
      </c>
      <c r="AC905" s="107"/>
      <c r="AD905" s="107"/>
      <c r="AE905" s="107"/>
      <c r="AF905" s="107"/>
      <c r="AG905" s="107"/>
      <c r="AH905" s="107"/>
      <c r="AI905" s="107"/>
      <c r="AJ905" s="108">
        <v>21.85984</v>
      </c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7"/>
      <c r="AV905" s="107"/>
      <c r="AW905" s="107"/>
      <c r="AX905" s="107"/>
      <c r="AY905" s="106"/>
      <c r="AZ905" s="107"/>
      <c r="BA905" s="107"/>
      <c r="BB905" s="107"/>
      <c r="BC905" s="107">
        <v>73.25317</v>
      </c>
      <c r="BD905" s="107">
        <v>71.83812</v>
      </c>
      <c r="BE905" s="107"/>
      <c r="BF905" s="107"/>
      <c r="BG905" s="107"/>
      <c r="BH905" s="107"/>
      <c r="BI905" s="107"/>
      <c r="BJ905" s="107"/>
      <c r="BK905" s="107"/>
      <c r="BL905" s="107"/>
      <c r="BM905" s="107"/>
      <c r="BN905" s="107"/>
      <c r="BO905" s="107"/>
      <c r="BP905" s="107"/>
      <c r="BQ905" s="109"/>
      <c r="BR905" s="109"/>
      <c r="BS905" s="109"/>
      <c r="BT905" s="109"/>
      <c r="BU905" s="138"/>
    </row>
    <row r="906" spans="1:73" ht="38.25" customHeight="1" outlineLevel="2">
      <c r="A906" s="24" t="s">
        <v>683</v>
      </c>
      <c r="B906" s="19" t="s">
        <v>1209</v>
      </c>
      <c r="C906" s="20" t="s">
        <v>587</v>
      </c>
      <c r="D906" s="218" t="s">
        <v>623</v>
      </c>
      <c r="E906" s="220" t="s">
        <v>2689</v>
      </c>
      <c r="F906" s="108">
        <f t="shared" si="149"/>
        <v>308.22213</v>
      </c>
      <c r="G906" s="106">
        <f t="shared" si="160"/>
        <v>121.51025000000001</v>
      </c>
      <c r="H906" s="106">
        <f t="shared" si="161"/>
        <v>186.71188</v>
      </c>
      <c r="I906" s="107"/>
      <c r="J906" s="107"/>
      <c r="K906" s="107"/>
      <c r="L906" s="107"/>
      <c r="M906" s="107"/>
      <c r="N906" s="107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7">
        <v>22.72815</v>
      </c>
      <c r="Z906" s="107">
        <v>107.811</v>
      </c>
      <c r="AA906" s="159">
        <v>53.31252</v>
      </c>
      <c r="AB906" s="106">
        <v>17.82658</v>
      </c>
      <c r="AC906" s="107"/>
      <c r="AD906" s="107"/>
      <c r="AE906" s="107"/>
      <c r="AF906" s="107"/>
      <c r="AG906" s="107"/>
      <c r="AH906" s="107"/>
      <c r="AI906" s="107"/>
      <c r="AJ906" s="108">
        <v>16.48264</v>
      </c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7"/>
      <c r="AV906" s="107"/>
      <c r="AW906" s="107"/>
      <c r="AX906" s="107"/>
      <c r="AY906" s="106"/>
      <c r="AZ906" s="107"/>
      <c r="BA906" s="107"/>
      <c r="BB906" s="107"/>
      <c r="BC906" s="107">
        <v>45.46958</v>
      </c>
      <c r="BD906" s="107">
        <v>44.59166</v>
      </c>
      <c r="BE906" s="107"/>
      <c r="BF906" s="107"/>
      <c r="BG906" s="107"/>
      <c r="BH906" s="107"/>
      <c r="BI906" s="107"/>
      <c r="BJ906" s="107"/>
      <c r="BK906" s="107"/>
      <c r="BL906" s="107"/>
      <c r="BM906" s="107"/>
      <c r="BN906" s="107"/>
      <c r="BO906" s="107"/>
      <c r="BP906" s="107"/>
      <c r="BQ906" s="109"/>
      <c r="BR906" s="109"/>
      <c r="BS906" s="109"/>
      <c r="BT906" s="109"/>
      <c r="BU906" s="138"/>
    </row>
    <row r="907" spans="1:73" ht="38.25" customHeight="1" outlineLevel="2">
      <c r="A907" s="24" t="s">
        <v>683</v>
      </c>
      <c r="B907" s="19" t="s">
        <v>1210</v>
      </c>
      <c r="C907" s="20" t="s">
        <v>587</v>
      </c>
      <c r="D907" s="218" t="s">
        <v>1484</v>
      </c>
      <c r="E907" s="220" t="s">
        <v>2690</v>
      </c>
      <c r="F907" s="108">
        <f t="shared" si="149"/>
        <v>306.48823</v>
      </c>
      <c r="G907" s="106">
        <f t="shared" si="160"/>
        <v>177.8501</v>
      </c>
      <c r="H907" s="106">
        <f t="shared" si="161"/>
        <v>128.63813</v>
      </c>
      <c r="I907" s="107"/>
      <c r="J907" s="107"/>
      <c r="K907" s="107"/>
      <c r="L907" s="107"/>
      <c r="M907" s="107"/>
      <c r="N907" s="107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7"/>
      <c r="Z907" s="107"/>
      <c r="AA907" s="159">
        <v>76.9772</v>
      </c>
      <c r="AB907" s="106">
        <v>29.71096</v>
      </c>
      <c r="AC907" s="107"/>
      <c r="AD907" s="107"/>
      <c r="AE907" s="107"/>
      <c r="AF907" s="107"/>
      <c r="AG907" s="107"/>
      <c r="AH907" s="107"/>
      <c r="AI907" s="107"/>
      <c r="AJ907" s="108">
        <v>0</v>
      </c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7"/>
      <c r="AV907" s="107"/>
      <c r="AW907" s="107"/>
      <c r="AX907" s="107"/>
      <c r="AY907" s="106"/>
      <c r="AZ907" s="107"/>
      <c r="BA907" s="107"/>
      <c r="BB907" s="107"/>
      <c r="BC907" s="107">
        <v>100.8729</v>
      </c>
      <c r="BD907" s="107">
        <v>98.92717</v>
      </c>
      <c r="BE907" s="107"/>
      <c r="BF907" s="107"/>
      <c r="BG907" s="107"/>
      <c r="BH907" s="107"/>
      <c r="BI907" s="107"/>
      <c r="BJ907" s="107"/>
      <c r="BK907" s="107"/>
      <c r="BL907" s="107"/>
      <c r="BM907" s="107"/>
      <c r="BN907" s="107"/>
      <c r="BO907" s="107"/>
      <c r="BP907" s="107"/>
      <c r="BQ907" s="109"/>
      <c r="BR907" s="109"/>
      <c r="BS907" s="109"/>
      <c r="BT907" s="109"/>
      <c r="BU907" s="138"/>
    </row>
    <row r="908" spans="1:73" ht="38.25" customHeight="1" outlineLevel="2">
      <c r="A908" s="24" t="s">
        <v>683</v>
      </c>
      <c r="B908" s="19" t="s">
        <v>1635</v>
      </c>
      <c r="C908" s="20" t="s">
        <v>587</v>
      </c>
      <c r="D908" s="218" t="s">
        <v>1683</v>
      </c>
      <c r="E908" s="220" t="s">
        <v>2691</v>
      </c>
      <c r="F908" s="108">
        <f t="shared" si="149"/>
        <v>228.10863</v>
      </c>
      <c r="G908" s="106">
        <f t="shared" si="160"/>
        <v>147.77968</v>
      </c>
      <c r="H908" s="106">
        <f t="shared" si="161"/>
        <v>80.32894999999999</v>
      </c>
      <c r="I908" s="107"/>
      <c r="J908" s="107"/>
      <c r="K908" s="107"/>
      <c r="L908" s="107"/>
      <c r="M908" s="107"/>
      <c r="N908" s="107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7">
        <v>33.67134</v>
      </c>
      <c r="Z908" s="107"/>
      <c r="AA908" s="159">
        <v>82.03758</v>
      </c>
      <c r="AB908" s="106">
        <v>29.71096</v>
      </c>
      <c r="AC908" s="107"/>
      <c r="AD908" s="107"/>
      <c r="AE908" s="107"/>
      <c r="AF908" s="107"/>
      <c r="AG908" s="107"/>
      <c r="AH908" s="107"/>
      <c r="AI908" s="107"/>
      <c r="AJ908" s="108">
        <v>19.171239999999997</v>
      </c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7"/>
      <c r="AV908" s="107"/>
      <c r="AW908" s="107"/>
      <c r="AX908" s="107"/>
      <c r="AY908" s="106"/>
      <c r="AZ908" s="107"/>
      <c r="BA908" s="107"/>
      <c r="BB908" s="107"/>
      <c r="BC908" s="107">
        <v>32.07076</v>
      </c>
      <c r="BD908" s="107">
        <v>31.44675</v>
      </c>
      <c r="BE908" s="107"/>
      <c r="BF908" s="107"/>
      <c r="BG908" s="107"/>
      <c r="BH908" s="107"/>
      <c r="BI908" s="107"/>
      <c r="BJ908" s="107"/>
      <c r="BK908" s="107"/>
      <c r="BL908" s="107"/>
      <c r="BM908" s="107"/>
      <c r="BN908" s="107"/>
      <c r="BO908" s="107"/>
      <c r="BP908" s="107"/>
      <c r="BQ908" s="109"/>
      <c r="BR908" s="109"/>
      <c r="BS908" s="109"/>
      <c r="BT908" s="109"/>
      <c r="BU908" s="138"/>
    </row>
    <row r="909" spans="1:73" ht="38.25" customHeight="1" outlineLevel="2">
      <c r="A909" s="24" t="s">
        <v>683</v>
      </c>
      <c r="B909" s="19" t="s">
        <v>1758</v>
      </c>
      <c r="C909" s="20" t="s">
        <v>587</v>
      </c>
      <c r="D909" s="218" t="s">
        <v>1815</v>
      </c>
      <c r="E909" s="220" t="s">
        <v>2692</v>
      </c>
      <c r="F909" s="108">
        <f aca="true" t="shared" si="162" ref="F909:F960">G909+H909</f>
        <v>176.55102</v>
      </c>
      <c r="G909" s="106">
        <f t="shared" si="160"/>
        <v>130.99421</v>
      </c>
      <c r="H909" s="106">
        <f t="shared" si="161"/>
        <v>45.55681</v>
      </c>
      <c r="I909" s="107"/>
      <c r="J909" s="107"/>
      <c r="K909" s="107"/>
      <c r="L909" s="107"/>
      <c r="M909" s="107"/>
      <c r="N909" s="107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7"/>
      <c r="Z909" s="107"/>
      <c r="AA909" s="159">
        <v>130.99421</v>
      </c>
      <c r="AB909" s="106">
        <v>45.55681</v>
      </c>
      <c r="AC909" s="107"/>
      <c r="AD909" s="107"/>
      <c r="AE909" s="107"/>
      <c r="AF909" s="107"/>
      <c r="AG909" s="107"/>
      <c r="AH909" s="107"/>
      <c r="AI909" s="107"/>
      <c r="AJ909" s="108">
        <v>0</v>
      </c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7"/>
      <c r="AV909" s="107"/>
      <c r="AW909" s="107"/>
      <c r="AX909" s="107"/>
      <c r="AY909" s="106"/>
      <c r="AZ909" s="107"/>
      <c r="BA909" s="107"/>
      <c r="BB909" s="107"/>
      <c r="BC909" s="107"/>
      <c r="BD909" s="107"/>
      <c r="BE909" s="107"/>
      <c r="BF909" s="107"/>
      <c r="BG909" s="107"/>
      <c r="BH909" s="107"/>
      <c r="BI909" s="107"/>
      <c r="BJ909" s="107"/>
      <c r="BK909" s="107"/>
      <c r="BL909" s="107"/>
      <c r="BM909" s="107"/>
      <c r="BN909" s="107"/>
      <c r="BO909" s="107"/>
      <c r="BP909" s="107"/>
      <c r="BQ909" s="109"/>
      <c r="BR909" s="109"/>
      <c r="BS909" s="109"/>
      <c r="BT909" s="109"/>
      <c r="BU909" s="138"/>
    </row>
    <row r="910" spans="1:73" ht="38.25" customHeight="1" outlineLevel="2">
      <c r="A910" s="24" t="s">
        <v>683</v>
      </c>
      <c r="B910" s="19" t="s">
        <v>1634</v>
      </c>
      <c r="C910" s="20" t="s">
        <v>587</v>
      </c>
      <c r="D910" s="218" t="s">
        <v>1684</v>
      </c>
      <c r="E910" s="220" t="s">
        <v>2693</v>
      </c>
      <c r="F910" s="108">
        <f t="shared" si="162"/>
        <v>500.80835</v>
      </c>
      <c r="G910" s="106">
        <f t="shared" si="160"/>
        <v>127.7712</v>
      </c>
      <c r="H910" s="106">
        <f t="shared" si="161"/>
        <v>373.03715</v>
      </c>
      <c r="I910" s="107"/>
      <c r="J910" s="107"/>
      <c r="K910" s="107"/>
      <c r="L910" s="107"/>
      <c r="M910" s="107"/>
      <c r="N910" s="107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7">
        <v>58.84066</v>
      </c>
      <c r="Z910" s="107">
        <v>279.1107</v>
      </c>
      <c r="AA910" s="159"/>
      <c r="AB910" s="106"/>
      <c r="AC910" s="107"/>
      <c r="AD910" s="107"/>
      <c r="AE910" s="107"/>
      <c r="AF910" s="107"/>
      <c r="AG910" s="107"/>
      <c r="AH910" s="107"/>
      <c r="AI910" s="107"/>
      <c r="AJ910" s="108">
        <v>26.33712</v>
      </c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7"/>
      <c r="AV910" s="107"/>
      <c r="AW910" s="107"/>
      <c r="AX910" s="107"/>
      <c r="AY910" s="106"/>
      <c r="AZ910" s="107"/>
      <c r="BA910" s="107"/>
      <c r="BB910" s="107"/>
      <c r="BC910" s="107">
        <v>68.93054</v>
      </c>
      <c r="BD910" s="107">
        <v>67.58933</v>
      </c>
      <c r="BE910" s="107"/>
      <c r="BF910" s="107"/>
      <c r="BG910" s="107"/>
      <c r="BH910" s="107"/>
      <c r="BI910" s="107"/>
      <c r="BJ910" s="107"/>
      <c r="BK910" s="107"/>
      <c r="BL910" s="107"/>
      <c r="BM910" s="107"/>
      <c r="BN910" s="107"/>
      <c r="BO910" s="107"/>
      <c r="BP910" s="107"/>
      <c r="BQ910" s="109"/>
      <c r="BR910" s="109"/>
      <c r="BS910" s="109"/>
      <c r="BT910" s="109"/>
      <c r="BU910" s="138"/>
    </row>
    <row r="911" spans="1:73" ht="38.25" customHeight="1" outlineLevel="2">
      <c r="A911" s="24" t="s">
        <v>683</v>
      </c>
      <c r="B911" s="19" t="s">
        <v>1733</v>
      </c>
      <c r="C911" s="20" t="s">
        <v>587</v>
      </c>
      <c r="D911" s="218" t="s">
        <v>1734</v>
      </c>
      <c r="E911" s="220" t="s">
        <v>2694</v>
      </c>
      <c r="F911" s="108">
        <f t="shared" si="162"/>
        <v>157.29689</v>
      </c>
      <c r="G911" s="106">
        <f t="shared" si="160"/>
        <v>0</v>
      </c>
      <c r="H911" s="106">
        <f t="shared" si="161"/>
        <v>157.29689</v>
      </c>
      <c r="I911" s="107"/>
      <c r="J911" s="107"/>
      <c r="K911" s="107"/>
      <c r="L911" s="107"/>
      <c r="M911" s="107"/>
      <c r="N911" s="107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7"/>
      <c r="Z911" s="107"/>
      <c r="AA911" s="159"/>
      <c r="AB911" s="106"/>
      <c r="AC911" s="107"/>
      <c r="AD911" s="107"/>
      <c r="AE911" s="107"/>
      <c r="AF911" s="107"/>
      <c r="AG911" s="107"/>
      <c r="AH911" s="107"/>
      <c r="AI911" s="107"/>
      <c r="AJ911" s="108">
        <v>0</v>
      </c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7"/>
      <c r="AV911" s="107"/>
      <c r="AW911" s="107"/>
      <c r="AX911" s="107"/>
      <c r="AY911" s="106"/>
      <c r="AZ911" s="107"/>
      <c r="BA911" s="107"/>
      <c r="BB911" s="107"/>
      <c r="BC911" s="107"/>
      <c r="BD911" s="107"/>
      <c r="BE911" s="107"/>
      <c r="BF911" s="107"/>
      <c r="BG911" s="107"/>
      <c r="BH911" s="107"/>
      <c r="BI911" s="107"/>
      <c r="BJ911" s="107">
        <v>157.29689</v>
      </c>
      <c r="BK911" s="107"/>
      <c r="BL911" s="107"/>
      <c r="BM911" s="107"/>
      <c r="BN911" s="107"/>
      <c r="BO911" s="107"/>
      <c r="BP911" s="107"/>
      <c r="BQ911" s="109"/>
      <c r="BR911" s="109"/>
      <c r="BS911" s="109"/>
      <c r="BT911" s="109"/>
      <c r="BU911" s="138"/>
    </row>
    <row r="912" spans="1:73" ht="30.75" customHeight="1" outlineLevel="2">
      <c r="A912" s="24" t="s">
        <v>683</v>
      </c>
      <c r="B912" s="19" t="s">
        <v>1419</v>
      </c>
      <c r="C912" s="20" t="s">
        <v>587</v>
      </c>
      <c r="D912" s="218" t="s">
        <v>1434</v>
      </c>
      <c r="E912" s="203" t="s">
        <v>2809</v>
      </c>
      <c r="F912" s="108">
        <f t="shared" si="162"/>
        <v>1532.3121299999998</v>
      </c>
      <c r="G912" s="106">
        <f t="shared" si="160"/>
        <v>681.71706</v>
      </c>
      <c r="H912" s="106">
        <f t="shared" si="161"/>
        <v>850.59507</v>
      </c>
      <c r="I912" s="107"/>
      <c r="J912" s="107"/>
      <c r="K912" s="107"/>
      <c r="L912" s="107"/>
      <c r="M912" s="107"/>
      <c r="N912" s="107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7">
        <v>53.2</v>
      </c>
      <c r="Z912" s="107">
        <v>139.755</v>
      </c>
      <c r="AA912" s="159">
        <v>368.26022</v>
      </c>
      <c r="AB912" s="106">
        <v>198.07309</v>
      </c>
      <c r="AC912" s="107"/>
      <c r="AD912" s="107"/>
      <c r="AE912" s="107"/>
      <c r="AF912" s="107"/>
      <c r="AG912" s="107"/>
      <c r="AH912" s="107"/>
      <c r="AI912" s="107"/>
      <c r="AJ912" s="108">
        <v>104.81076</v>
      </c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7"/>
      <c r="AV912" s="107"/>
      <c r="AW912" s="107"/>
      <c r="AX912" s="107"/>
      <c r="AY912" s="106"/>
      <c r="AZ912" s="107"/>
      <c r="BA912" s="107"/>
      <c r="BB912" s="107"/>
      <c r="BC912" s="107">
        <v>260.25684</v>
      </c>
      <c r="BD912" s="107">
        <v>255.22717</v>
      </c>
      <c r="BE912" s="107">
        <v>71.83351</v>
      </c>
      <c r="BF912" s="107"/>
      <c r="BG912" s="107"/>
      <c r="BH912" s="107"/>
      <c r="BI912" s="107"/>
      <c r="BJ912" s="107">
        <v>80.89554</v>
      </c>
      <c r="BK912" s="107"/>
      <c r="BL912" s="107"/>
      <c r="BM912" s="107"/>
      <c r="BN912" s="107"/>
      <c r="BO912" s="107"/>
      <c r="BP912" s="107"/>
      <c r="BQ912" s="109"/>
      <c r="BR912" s="109"/>
      <c r="BS912" s="109"/>
      <c r="BT912" s="109"/>
      <c r="BU912" s="138"/>
    </row>
    <row r="913" spans="1:73" ht="34.5" customHeight="1" outlineLevel="2">
      <c r="A913" s="24" t="s">
        <v>683</v>
      </c>
      <c r="B913" s="19" t="s">
        <v>12</v>
      </c>
      <c r="C913" s="20" t="s">
        <v>587</v>
      </c>
      <c r="D913" s="218" t="s">
        <v>13</v>
      </c>
      <c r="E913" s="203" t="s">
        <v>2810</v>
      </c>
      <c r="F913" s="108">
        <f t="shared" si="162"/>
        <v>521.92011</v>
      </c>
      <c r="G913" s="106">
        <f t="shared" si="160"/>
        <v>232.21901</v>
      </c>
      <c r="H913" s="106">
        <f t="shared" si="161"/>
        <v>289.7011</v>
      </c>
      <c r="I913" s="107"/>
      <c r="J913" s="107"/>
      <c r="K913" s="107"/>
      <c r="L913" s="107"/>
      <c r="M913" s="107"/>
      <c r="N913" s="107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7">
        <v>22.8</v>
      </c>
      <c r="Z913" s="107">
        <v>59.895</v>
      </c>
      <c r="AA913" s="159">
        <v>79.29059</v>
      </c>
      <c r="AB913" s="106">
        <v>49.51827</v>
      </c>
      <c r="AC913" s="107"/>
      <c r="AD913" s="107"/>
      <c r="AE913" s="107"/>
      <c r="AF913" s="107"/>
      <c r="AG913" s="107"/>
      <c r="AH913" s="107"/>
      <c r="AI913" s="107"/>
      <c r="AJ913" s="108">
        <v>52.67424</v>
      </c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7"/>
      <c r="AV913" s="107"/>
      <c r="AW913" s="107"/>
      <c r="AX913" s="107"/>
      <c r="AY913" s="106"/>
      <c r="AZ913" s="107"/>
      <c r="BA913" s="107"/>
      <c r="BB913" s="107"/>
      <c r="BC913" s="107">
        <v>130.12842</v>
      </c>
      <c r="BD913" s="107">
        <v>127.61359</v>
      </c>
      <c r="BE913" s="107"/>
      <c r="BF913" s="107"/>
      <c r="BG913" s="107"/>
      <c r="BH913" s="107"/>
      <c r="BI913" s="107"/>
      <c r="BJ913" s="107"/>
      <c r="BK913" s="107"/>
      <c r="BL913" s="107"/>
      <c r="BM913" s="107"/>
      <c r="BN913" s="107"/>
      <c r="BO913" s="107"/>
      <c r="BP913" s="107"/>
      <c r="BQ913" s="109"/>
      <c r="BR913" s="109"/>
      <c r="BS913" s="109"/>
      <c r="BT913" s="109"/>
      <c r="BU913" s="138"/>
    </row>
    <row r="914" spans="1:73" ht="37.5" customHeight="1" outlineLevel="2">
      <c r="A914" s="24" t="s">
        <v>683</v>
      </c>
      <c r="B914" s="19" t="s">
        <v>1714</v>
      </c>
      <c r="C914" s="20" t="s">
        <v>587</v>
      </c>
      <c r="D914" s="218" t="s">
        <v>1715</v>
      </c>
      <c r="E914" s="220" t="s">
        <v>2695</v>
      </c>
      <c r="F914" s="108">
        <f t="shared" si="162"/>
        <v>15588.923200000001</v>
      </c>
      <c r="G914" s="106">
        <f t="shared" si="160"/>
        <v>5838.623320000001</v>
      </c>
      <c r="H914" s="106">
        <f t="shared" si="161"/>
        <v>9750.29988</v>
      </c>
      <c r="I914" s="107"/>
      <c r="J914" s="107"/>
      <c r="K914" s="107"/>
      <c r="L914" s="107"/>
      <c r="M914" s="107">
        <v>86.19177</v>
      </c>
      <c r="N914" s="107"/>
      <c r="O914" s="106"/>
      <c r="P914" s="106"/>
      <c r="Q914" s="106"/>
      <c r="R914" s="106"/>
      <c r="S914" s="106"/>
      <c r="T914" s="106"/>
      <c r="U914" s="106"/>
      <c r="V914" s="106"/>
      <c r="W914" s="106">
        <f>1320.46224+739.27039</f>
        <v>2059.73263</v>
      </c>
      <c r="X914" s="106">
        <f>689.37374+385.9509</f>
        <v>1075.32464</v>
      </c>
      <c r="Y914" s="107">
        <v>1104.28</v>
      </c>
      <c r="Z914" s="107">
        <v>2900.9145</v>
      </c>
      <c r="AA914" s="159">
        <f>390.06546+710.11918</f>
        <v>1100.18464</v>
      </c>
      <c r="AB914" s="106">
        <f>154.49701+281.26379</f>
        <v>435.76079999999996</v>
      </c>
      <c r="AC914" s="107"/>
      <c r="AD914" s="107"/>
      <c r="AE914" s="107"/>
      <c r="AF914" s="107"/>
      <c r="AG914" s="107"/>
      <c r="AH914" s="107"/>
      <c r="AI914" s="107"/>
      <c r="AJ914" s="108">
        <v>265.38004</v>
      </c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7"/>
      <c r="AV914" s="107"/>
      <c r="AW914" s="107"/>
      <c r="AX914" s="107"/>
      <c r="AY914" s="106"/>
      <c r="AZ914" s="107"/>
      <c r="BA914" s="107"/>
      <c r="BB914" s="107"/>
      <c r="BC914" s="107">
        <v>1574.42605</v>
      </c>
      <c r="BD914" s="107">
        <v>1544.04824</v>
      </c>
      <c r="BE914" s="107">
        <v>341.38362</v>
      </c>
      <c r="BF914" s="107"/>
      <c r="BG914" s="107"/>
      <c r="BH914" s="107"/>
      <c r="BI914" s="107"/>
      <c r="BJ914" s="107">
        <v>2776.81927</v>
      </c>
      <c r="BK914" s="107"/>
      <c r="BL914" s="107"/>
      <c r="BM914" s="107">
        <v>324.477</v>
      </c>
      <c r="BN914" s="107"/>
      <c r="BO914" s="107"/>
      <c r="BP914" s="107"/>
      <c r="BQ914" s="109"/>
      <c r="BR914" s="109"/>
      <c r="BS914" s="109"/>
      <c r="BT914" s="109"/>
      <c r="BU914" s="138"/>
    </row>
    <row r="915" spans="1:73" ht="41.25" customHeight="1" outlineLevel="2">
      <c r="A915" s="24" t="s">
        <v>683</v>
      </c>
      <c r="B915" s="19" t="s">
        <v>1475</v>
      </c>
      <c r="C915" s="20" t="s">
        <v>587</v>
      </c>
      <c r="D915" s="218" t="s">
        <v>1485</v>
      </c>
      <c r="E915" s="203" t="s">
        <v>2696</v>
      </c>
      <c r="F915" s="108">
        <f t="shared" si="162"/>
        <v>554.07194</v>
      </c>
      <c r="G915" s="106">
        <f t="shared" si="160"/>
        <v>338.81105</v>
      </c>
      <c r="H915" s="106">
        <f t="shared" si="161"/>
        <v>215.26089000000002</v>
      </c>
      <c r="I915" s="107"/>
      <c r="J915" s="107"/>
      <c r="K915" s="107"/>
      <c r="L915" s="107"/>
      <c r="M915" s="107"/>
      <c r="N915" s="107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7"/>
      <c r="Z915" s="107"/>
      <c r="AA915" s="159">
        <v>196.06465</v>
      </c>
      <c r="AB915" s="106">
        <v>75.26777</v>
      </c>
      <c r="AC915" s="107"/>
      <c r="AD915" s="107"/>
      <c r="AE915" s="107"/>
      <c r="AF915" s="107"/>
      <c r="AG915" s="107"/>
      <c r="AH915" s="107"/>
      <c r="AI915" s="107"/>
      <c r="AJ915" s="108">
        <v>0</v>
      </c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7"/>
      <c r="AV915" s="107"/>
      <c r="AW915" s="107"/>
      <c r="AX915" s="107"/>
      <c r="AY915" s="106"/>
      <c r="AZ915" s="107"/>
      <c r="BA915" s="107"/>
      <c r="BB915" s="107"/>
      <c r="BC915" s="107">
        <v>142.7464</v>
      </c>
      <c r="BD915" s="107">
        <v>139.99312</v>
      </c>
      <c r="BE915" s="107"/>
      <c r="BF915" s="107"/>
      <c r="BG915" s="107"/>
      <c r="BH915" s="107"/>
      <c r="BI915" s="107"/>
      <c r="BJ915" s="107"/>
      <c r="BK915" s="107"/>
      <c r="BL915" s="107"/>
      <c r="BM915" s="107"/>
      <c r="BN915" s="107"/>
      <c r="BO915" s="107"/>
      <c r="BP915" s="107"/>
      <c r="BQ915" s="109"/>
      <c r="BR915" s="109"/>
      <c r="BS915" s="109"/>
      <c r="BT915" s="109"/>
      <c r="BU915" s="138"/>
    </row>
    <row r="916" spans="1:73" ht="30" customHeight="1" outlineLevel="2" thickBot="1">
      <c r="A916" s="35" t="s">
        <v>683</v>
      </c>
      <c r="B916" s="19" t="s">
        <v>743</v>
      </c>
      <c r="C916" s="20" t="s">
        <v>1422</v>
      </c>
      <c r="D916" s="218" t="s">
        <v>2698</v>
      </c>
      <c r="E916" s="203" t="s">
        <v>2697</v>
      </c>
      <c r="F916" s="108">
        <f t="shared" si="162"/>
        <v>17.02036</v>
      </c>
      <c r="G916" s="106">
        <f t="shared" si="160"/>
        <v>0</v>
      </c>
      <c r="H916" s="106">
        <f t="shared" si="161"/>
        <v>17.02036</v>
      </c>
      <c r="I916" s="107"/>
      <c r="J916" s="107"/>
      <c r="K916" s="107"/>
      <c r="L916" s="107"/>
      <c r="M916" s="107"/>
      <c r="N916" s="107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7"/>
      <c r="Z916" s="107"/>
      <c r="AA916" s="106"/>
      <c r="AB916" s="106"/>
      <c r="AC916" s="107"/>
      <c r="AD916" s="107"/>
      <c r="AE916" s="107"/>
      <c r="AF916" s="107"/>
      <c r="AG916" s="107"/>
      <c r="AH916" s="107"/>
      <c r="AI916" s="107"/>
      <c r="AJ916" s="108">
        <v>17.02036</v>
      </c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7"/>
      <c r="AV916" s="107"/>
      <c r="AW916" s="107"/>
      <c r="AX916" s="107"/>
      <c r="AY916" s="106"/>
      <c r="AZ916" s="107"/>
      <c r="BA916" s="107"/>
      <c r="BB916" s="107"/>
      <c r="BC916" s="107"/>
      <c r="BD916" s="107"/>
      <c r="BE916" s="107"/>
      <c r="BF916" s="107"/>
      <c r="BG916" s="107"/>
      <c r="BH916" s="107"/>
      <c r="BI916" s="107"/>
      <c r="BJ916" s="107"/>
      <c r="BK916" s="107"/>
      <c r="BL916" s="107"/>
      <c r="BM916" s="107"/>
      <c r="BN916" s="107"/>
      <c r="BO916" s="107"/>
      <c r="BP916" s="107"/>
      <c r="BQ916" s="109"/>
      <c r="BR916" s="109"/>
      <c r="BS916" s="109"/>
      <c r="BT916" s="109"/>
      <c r="BU916" s="138"/>
    </row>
    <row r="917" spans="1:73" s="32" customFormat="1" ht="21" outlineLevel="1" thickBot="1">
      <c r="A917" s="40" t="s">
        <v>1000</v>
      </c>
      <c r="B917" s="41"/>
      <c r="C917" s="30" t="s">
        <v>1572</v>
      </c>
      <c r="D917" s="222"/>
      <c r="E917" s="223"/>
      <c r="F917" s="117">
        <f aca="true" t="shared" si="163" ref="F917:AV917">SUBTOTAL(9,F883:F916)</f>
        <v>363463.5598300001</v>
      </c>
      <c r="G917" s="117">
        <f t="shared" si="163"/>
        <v>176046.92314</v>
      </c>
      <c r="H917" s="117">
        <f t="shared" si="163"/>
        <v>187416.63669</v>
      </c>
      <c r="I917" s="117">
        <f t="shared" si="163"/>
        <v>1316.54139</v>
      </c>
      <c r="J917" s="117">
        <f t="shared" si="163"/>
        <v>284.63397000000003</v>
      </c>
      <c r="K917" s="117">
        <f t="shared" si="163"/>
        <v>22622.81188</v>
      </c>
      <c r="L917" s="117">
        <f t="shared" si="163"/>
        <v>3445.2578799999997</v>
      </c>
      <c r="M917" s="117">
        <f t="shared" si="163"/>
        <v>6185.884</v>
      </c>
      <c r="N917" s="117">
        <f t="shared" si="163"/>
        <v>0</v>
      </c>
      <c r="O917" s="117">
        <f t="shared" si="163"/>
        <v>0</v>
      </c>
      <c r="P917" s="117">
        <f t="shared" si="163"/>
        <v>0</v>
      </c>
      <c r="Q917" s="117">
        <f t="shared" si="163"/>
        <v>401.0072</v>
      </c>
      <c r="R917" s="117">
        <f t="shared" si="163"/>
        <v>0</v>
      </c>
      <c r="S917" s="117">
        <f t="shared" si="163"/>
        <v>7047.37359</v>
      </c>
      <c r="T917" s="117">
        <f t="shared" si="163"/>
        <v>1474.79165</v>
      </c>
      <c r="U917" s="117">
        <f t="shared" si="163"/>
        <v>0</v>
      </c>
      <c r="V917" s="117">
        <f t="shared" si="163"/>
        <v>0</v>
      </c>
      <c r="W917" s="117">
        <f t="shared" si="163"/>
        <v>34285.21798</v>
      </c>
      <c r="X917" s="117">
        <f t="shared" si="163"/>
        <v>17899.28488</v>
      </c>
      <c r="Y917" s="117">
        <f t="shared" si="163"/>
        <v>3449.0075399999996</v>
      </c>
      <c r="Z917" s="117">
        <f t="shared" si="163"/>
        <v>9300.3252</v>
      </c>
      <c r="AA917" s="117">
        <f t="shared" si="163"/>
        <v>21522.379030000004</v>
      </c>
      <c r="AB917" s="117">
        <f t="shared" si="163"/>
        <v>9982.883750000005</v>
      </c>
      <c r="AC917" s="117">
        <f t="shared" si="163"/>
        <v>0</v>
      </c>
      <c r="AD917" s="117">
        <f t="shared" si="163"/>
        <v>0</v>
      </c>
      <c r="AE917" s="117">
        <f t="shared" si="163"/>
        <v>0</v>
      </c>
      <c r="AF917" s="117">
        <f t="shared" si="163"/>
        <v>0</v>
      </c>
      <c r="AG917" s="117">
        <f t="shared" si="163"/>
        <v>0</v>
      </c>
      <c r="AH917" s="117">
        <f t="shared" si="163"/>
        <v>0</v>
      </c>
      <c r="AI917" s="117">
        <f t="shared" si="163"/>
        <v>0</v>
      </c>
      <c r="AJ917" s="117">
        <f>SUBTOTAL(9,AJ883:AJ916)</f>
        <v>16375.330240000003</v>
      </c>
      <c r="AK917" s="117">
        <f t="shared" si="163"/>
        <v>709.0451</v>
      </c>
      <c r="AL917" s="117">
        <f t="shared" si="163"/>
        <v>0</v>
      </c>
      <c r="AM917" s="117">
        <f t="shared" si="163"/>
        <v>0</v>
      </c>
      <c r="AN917" s="117">
        <f t="shared" si="163"/>
        <v>181.6529</v>
      </c>
      <c r="AO917" s="117">
        <f t="shared" si="163"/>
        <v>1655.0278</v>
      </c>
      <c r="AP917" s="117">
        <f t="shared" si="163"/>
        <v>390</v>
      </c>
      <c r="AQ917" s="117">
        <f t="shared" si="163"/>
        <v>341.625</v>
      </c>
      <c r="AR917" s="117">
        <f t="shared" si="163"/>
        <v>0</v>
      </c>
      <c r="AS917" s="117">
        <f t="shared" si="163"/>
        <v>0</v>
      </c>
      <c r="AT917" s="117">
        <f t="shared" si="163"/>
        <v>0</v>
      </c>
      <c r="AU917" s="117">
        <f t="shared" si="163"/>
        <v>40.02</v>
      </c>
      <c r="AV917" s="117">
        <f t="shared" si="163"/>
        <v>3477.76</v>
      </c>
      <c r="AW917" s="117">
        <f aca="true" t="shared" si="164" ref="AW917:BU917">SUBTOTAL(9,AW883:AW916)</f>
        <v>0</v>
      </c>
      <c r="AX917" s="117">
        <f t="shared" si="164"/>
        <v>31697.421279999995</v>
      </c>
      <c r="AY917" s="117">
        <f t="shared" si="164"/>
        <v>14979.353350000001</v>
      </c>
      <c r="AZ917" s="117">
        <f t="shared" si="164"/>
        <v>5447.034</v>
      </c>
      <c r="BA917" s="117">
        <f t="shared" si="164"/>
        <v>3650.85458</v>
      </c>
      <c r="BB917" s="117">
        <f t="shared" si="164"/>
        <v>0</v>
      </c>
      <c r="BC917" s="117">
        <f t="shared" si="164"/>
        <v>52451.14265000001</v>
      </c>
      <c r="BD917" s="117">
        <f t="shared" si="164"/>
        <v>51439.81001</v>
      </c>
      <c r="BE917" s="117">
        <f t="shared" si="164"/>
        <v>2201.33405</v>
      </c>
      <c r="BF917" s="117">
        <f t="shared" si="164"/>
        <v>0</v>
      </c>
      <c r="BG917" s="117">
        <f t="shared" si="164"/>
        <v>0</v>
      </c>
      <c r="BH917" s="117">
        <f t="shared" si="164"/>
        <v>0</v>
      </c>
      <c r="BI917" s="117">
        <f t="shared" si="164"/>
        <v>0</v>
      </c>
      <c r="BJ917" s="117">
        <f t="shared" si="164"/>
        <v>36252.68312999999</v>
      </c>
      <c r="BK917" s="117"/>
      <c r="BL917" s="117">
        <f t="shared" si="164"/>
        <v>0</v>
      </c>
      <c r="BM917" s="117">
        <f t="shared" si="164"/>
        <v>2956.0658</v>
      </c>
      <c r="BN917" s="117">
        <f t="shared" si="164"/>
        <v>0</v>
      </c>
      <c r="BO917" s="117">
        <f t="shared" si="164"/>
        <v>0</v>
      </c>
      <c r="BP917" s="117">
        <f t="shared" si="164"/>
        <v>0</v>
      </c>
      <c r="BQ917" s="117">
        <f t="shared" si="164"/>
        <v>0</v>
      </c>
      <c r="BR917" s="117">
        <f t="shared" si="164"/>
        <v>0</v>
      </c>
      <c r="BS917" s="117">
        <f t="shared" si="164"/>
        <v>0</v>
      </c>
      <c r="BT917" s="117">
        <f t="shared" si="164"/>
        <v>0</v>
      </c>
      <c r="BU917" s="117">
        <f t="shared" si="164"/>
        <v>0</v>
      </c>
    </row>
    <row r="918" spans="1:73" ht="29.25" customHeight="1" outlineLevel="2">
      <c r="A918" s="2" t="s">
        <v>838</v>
      </c>
      <c r="B918" s="33" t="s">
        <v>620</v>
      </c>
      <c r="C918" s="4" t="s">
        <v>1496</v>
      </c>
      <c r="D918" s="230" t="s">
        <v>1479</v>
      </c>
      <c r="E918" s="203" t="s">
        <v>2699</v>
      </c>
      <c r="F918" s="108">
        <f t="shared" si="162"/>
        <v>9726.35716</v>
      </c>
      <c r="G918" s="106">
        <f>I918+K918+O918+S918+U918+W918+Y918+AA918+AC918+AE918+AR918+AX918+BC918+BG918+BP918+BR918+BT918+AO918</f>
        <v>3439.71547</v>
      </c>
      <c r="H918" s="106">
        <f>J918+L918+M918+N918+P918+Q918+R918+T918+V918+X918+Z918+AB918+AD918+AF918+AG918+AJ918+AL918+AS918+AT918+AU918+AV918+AW918+AY918+AZ918+BA918+BB918+BD918+BE918+BF918+BH918+BI918+BJ918+BL918+BM918+BN918+BO918+BQ918+BS918+BU918+AH918+AI918+AK918+AM918+AN918+AP918+AQ918+BK918</f>
        <v>6286.6416899999995</v>
      </c>
      <c r="I918" s="119">
        <v>162.70498</v>
      </c>
      <c r="J918" s="119">
        <v>34.75575</v>
      </c>
      <c r="K918" s="119"/>
      <c r="L918" s="119"/>
      <c r="M918" s="119"/>
      <c r="N918" s="119"/>
      <c r="O918" s="120"/>
      <c r="P918" s="120"/>
      <c r="Q918" s="120"/>
      <c r="R918" s="120"/>
      <c r="S918" s="120">
        <v>115.47488</v>
      </c>
      <c r="T918" s="120">
        <v>28.86871</v>
      </c>
      <c r="U918" s="120"/>
      <c r="V918" s="120"/>
      <c r="W918" s="120"/>
      <c r="X918" s="120"/>
      <c r="Y918" s="119">
        <v>169.4137</v>
      </c>
      <c r="Z918" s="119">
        <v>658.845</v>
      </c>
      <c r="AA918" s="163">
        <v>510.80001</v>
      </c>
      <c r="AB918" s="120">
        <v>261.45648</v>
      </c>
      <c r="AC918" s="119"/>
      <c r="AD918" s="119"/>
      <c r="AE918" s="119"/>
      <c r="AF918" s="119"/>
      <c r="AG918" s="119"/>
      <c r="AH918" s="119"/>
      <c r="AI918" s="119"/>
      <c r="AJ918" s="108">
        <v>125.74763999999999</v>
      </c>
      <c r="AK918" s="119"/>
      <c r="AL918" s="119"/>
      <c r="AM918" s="119"/>
      <c r="AN918" s="119">
        <v>2530</v>
      </c>
      <c r="AO918" s="119"/>
      <c r="AP918" s="119"/>
      <c r="AQ918" s="119"/>
      <c r="AR918" s="119"/>
      <c r="AS918" s="119"/>
      <c r="AT918" s="119"/>
      <c r="AU918" s="119"/>
      <c r="AV918" s="119"/>
      <c r="AW918" s="119"/>
      <c r="AX918" s="119">
        <v>879.22744</v>
      </c>
      <c r="AY918" s="120">
        <v>318.59393</v>
      </c>
      <c r="AZ918" s="119"/>
      <c r="BA918" s="119">
        <f>80.4815+25.0236</f>
        <v>105.5051</v>
      </c>
      <c r="BB918" s="119"/>
      <c r="BC918" s="119">
        <v>1602.09446</v>
      </c>
      <c r="BD918" s="119">
        <v>1571.165</v>
      </c>
      <c r="BE918" s="119">
        <v>199.97759</v>
      </c>
      <c r="BF918" s="119"/>
      <c r="BG918" s="119"/>
      <c r="BH918" s="119"/>
      <c r="BI918" s="119"/>
      <c r="BJ918" s="119">
        <v>98.0552</v>
      </c>
      <c r="BK918" s="119"/>
      <c r="BL918" s="119"/>
      <c r="BM918" s="119">
        <v>353.67129</v>
      </c>
      <c r="BN918" s="119"/>
      <c r="BO918" s="119"/>
      <c r="BP918" s="119"/>
      <c r="BQ918" s="121"/>
      <c r="BR918" s="121"/>
      <c r="BS918" s="121"/>
      <c r="BT918" s="121"/>
      <c r="BU918" s="140"/>
    </row>
    <row r="919" spans="1:73" ht="29.25" customHeight="1" outlineLevel="2">
      <c r="A919" s="24" t="s">
        <v>838</v>
      </c>
      <c r="B919" s="37" t="s">
        <v>1056</v>
      </c>
      <c r="C919" s="20" t="s">
        <v>1496</v>
      </c>
      <c r="D919" s="218" t="s">
        <v>16</v>
      </c>
      <c r="E919" s="203" t="s">
        <v>2712</v>
      </c>
      <c r="F919" s="108">
        <f t="shared" si="162"/>
        <v>70.90523</v>
      </c>
      <c r="G919" s="106">
        <f aca="true" t="shared" si="165" ref="G919:G939">I919+K919+O919+S919+U919+W919+Y919+AA919+AC919+AE919+AR919+AX919+BC919+BG919+BP919+BR919+BT919+AO919</f>
        <v>40.21802</v>
      </c>
      <c r="H919" s="106">
        <f aca="true" t="shared" si="166" ref="H919:H939">J919+L919+M919+N919+P919+Q919+R919+T919+V919+X919+Z919+AB919+AD919+AF919+AG919+AJ919+AL919+AS919+AT919+AU919+AV919+AW919+AY919+AZ919+BA919+BB919+BD919+BE919+BF919+BH919+BI919+BJ919+BL919+BM919+BN919+BO919+BQ919+BS919+BU919+AH919+AI919+AK919+AM919+AN919+AP919+AQ919+BK919</f>
        <v>30.68721</v>
      </c>
      <c r="I919" s="107"/>
      <c r="J919" s="107"/>
      <c r="K919" s="107"/>
      <c r="L919" s="107"/>
      <c r="M919" s="107"/>
      <c r="N919" s="107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7"/>
      <c r="Z919" s="107"/>
      <c r="AA919" s="159">
        <v>25.08357</v>
      </c>
      <c r="AB919" s="106">
        <v>15.84585</v>
      </c>
      <c r="AC919" s="107"/>
      <c r="AD919" s="107"/>
      <c r="AE919" s="107"/>
      <c r="AF919" s="107"/>
      <c r="AG919" s="107"/>
      <c r="AH919" s="107"/>
      <c r="AI919" s="107"/>
      <c r="AJ919" s="108">
        <v>0</v>
      </c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7"/>
      <c r="AV919" s="107"/>
      <c r="AW919" s="107"/>
      <c r="AX919" s="107"/>
      <c r="AY919" s="106"/>
      <c r="AZ919" s="107"/>
      <c r="BA919" s="107"/>
      <c r="BB919" s="107"/>
      <c r="BC919" s="107">
        <v>15.13445</v>
      </c>
      <c r="BD919" s="107">
        <v>14.84136</v>
      </c>
      <c r="BE919" s="107"/>
      <c r="BF919" s="107"/>
      <c r="BG919" s="107"/>
      <c r="BH919" s="107"/>
      <c r="BI919" s="107"/>
      <c r="BJ919" s="107"/>
      <c r="BK919" s="107"/>
      <c r="BL919" s="107"/>
      <c r="BM919" s="107"/>
      <c r="BN919" s="107"/>
      <c r="BO919" s="107"/>
      <c r="BP919" s="107"/>
      <c r="BQ919" s="109"/>
      <c r="BR919" s="109"/>
      <c r="BS919" s="109"/>
      <c r="BT919" s="109"/>
      <c r="BU919" s="138"/>
    </row>
    <row r="920" spans="1:73" ht="29.25" customHeight="1" outlineLevel="2">
      <c r="A920" s="24" t="s">
        <v>838</v>
      </c>
      <c r="B920" s="19" t="s">
        <v>792</v>
      </c>
      <c r="C920" s="20" t="s">
        <v>1496</v>
      </c>
      <c r="D920" s="218" t="s">
        <v>920</v>
      </c>
      <c r="E920" s="203" t="s">
        <v>2707</v>
      </c>
      <c r="F920" s="108">
        <f t="shared" si="162"/>
        <v>541.5455</v>
      </c>
      <c r="G920" s="106">
        <f t="shared" si="165"/>
        <v>293.98938</v>
      </c>
      <c r="H920" s="106">
        <f t="shared" si="166"/>
        <v>247.55611999999996</v>
      </c>
      <c r="I920" s="107">
        <v>37.75376</v>
      </c>
      <c r="J920" s="107">
        <v>15.97584</v>
      </c>
      <c r="K920" s="107"/>
      <c r="L920" s="107"/>
      <c r="M920" s="107"/>
      <c r="N920" s="107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7">
        <v>5.776</v>
      </c>
      <c r="Z920" s="107">
        <v>15.1734</v>
      </c>
      <c r="AA920" s="159">
        <v>137.76122</v>
      </c>
      <c r="AB920" s="106">
        <v>88.14253</v>
      </c>
      <c r="AC920" s="107"/>
      <c r="AD920" s="107"/>
      <c r="AE920" s="107"/>
      <c r="AF920" s="107"/>
      <c r="AG920" s="107"/>
      <c r="AH920" s="107"/>
      <c r="AI920" s="107"/>
      <c r="AJ920" s="108">
        <v>17.74476</v>
      </c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7"/>
      <c r="AV920" s="107"/>
      <c r="AW920" s="107"/>
      <c r="AX920" s="107"/>
      <c r="AY920" s="106"/>
      <c r="AZ920" s="107"/>
      <c r="BA920" s="107"/>
      <c r="BB920" s="107"/>
      <c r="BC920" s="107">
        <v>112.6984</v>
      </c>
      <c r="BD920" s="107">
        <v>110.51959</v>
      </c>
      <c r="BE920" s="107"/>
      <c r="BF920" s="107"/>
      <c r="BG920" s="107"/>
      <c r="BH920" s="107"/>
      <c r="BI920" s="107"/>
      <c r="BJ920" s="107"/>
      <c r="BK920" s="107"/>
      <c r="BL920" s="107"/>
      <c r="BM920" s="107"/>
      <c r="BN920" s="107"/>
      <c r="BO920" s="107"/>
      <c r="BP920" s="107"/>
      <c r="BQ920" s="109"/>
      <c r="BR920" s="109"/>
      <c r="BS920" s="109"/>
      <c r="BT920" s="109"/>
      <c r="BU920" s="138"/>
    </row>
    <row r="921" spans="1:73" ht="21" customHeight="1" outlineLevel="2">
      <c r="A921" s="24" t="s">
        <v>838</v>
      </c>
      <c r="B921" s="19" t="s">
        <v>1639</v>
      </c>
      <c r="C921" s="20" t="s">
        <v>1496</v>
      </c>
      <c r="D921" s="218" t="s">
        <v>1685</v>
      </c>
      <c r="E921" s="203" t="s">
        <v>2711</v>
      </c>
      <c r="F921" s="108">
        <f t="shared" si="162"/>
        <v>331.91670999999997</v>
      </c>
      <c r="G921" s="106">
        <f t="shared" si="165"/>
        <v>180.47682</v>
      </c>
      <c r="H921" s="106">
        <f t="shared" si="166"/>
        <v>151.43989</v>
      </c>
      <c r="I921" s="107"/>
      <c r="J921" s="107"/>
      <c r="K921" s="107"/>
      <c r="L921" s="107"/>
      <c r="M921" s="107"/>
      <c r="N921" s="107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7">
        <v>7.6</v>
      </c>
      <c r="Z921" s="107">
        <v>19.965</v>
      </c>
      <c r="AA921" s="159">
        <v>89.3007</v>
      </c>
      <c r="AB921" s="106">
        <v>49.51827</v>
      </c>
      <c r="AC921" s="107"/>
      <c r="AD921" s="107"/>
      <c r="AE921" s="107"/>
      <c r="AF921" s="107"/>
      <c r="AG921" s="107"/>
      <c r="AH921" s="107"/>
      <c r="AI921" s="107"/>
      <c r="AJ921" s="108">
        <v>0</v>
      </c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7"/>
      <c r="AV921" s="107"/>
      <c r="AW921" s="107"/>
      <c r="AX921" s="107"/>
      <c r="AY921" s="106"/>
      <c r="AZ921" s="107"/>
      <c r="BA921" s="107"/>
      <c r="BB921" s="107"/>
      <c r="BC921" s="107">
        <v>83.57612</v>
      </c>
      <c r="BD921" s="107">
        <v>81.95662</v>
      </c>
      <c r="BE921" s="107"/>
      <c r="BF921" s="107"/>
      <c r="BG921" s="107"/>
      <c r="BH921" s="107"/>
      <c r="BI921" s="107"/>
      <c r="BJ921" s="107"/>
      <c r="BK921" s="107"/>
      <c r="BL921" s="107"/>
      <c r="BM921" s="107"/>
      <c r="BN921" s="107"/>
      <c r="BO921" s="107"/>
      <c r="BP921" s="107"/>
      <c r="BQ921" s="109"/>
      <c r="BR921" s="109"/>
      <c r="BS921" s="109"/>
      <c r="BT921" s="109"/>
      <c r="BU921" s="138"/>
    </row>
    <row r="922" spans="1:73" ht="28.5" customHeight="1" outlineLevel="2">
      <c r="A922" s="35" t="s">
        <v>838</v>
      </c>
      <c r="B922" s="37" t="s">
        <v>1058</v>
      </c>
      <c r="C922" s="20" t="s">
        <v>1496</v>
      </c>
      <c r="D922" s="218" t="s">
        <v>517</v>
      </c>
      <c r="E922" s="203" t="s">
        <v>2706</v>
      </c>
      <c r="F922" s="108">
        <f t="shared" si="162"/>
        <v>648.68137</v>
      </c>
      <c r="G922" s="106">
        <f t="shared" si="165"/>
        <v>286.58466</v>
      </c>
      <c r="H922" s="106">
        <f t="shared" si="166"/>
        <v>362.09671</v>
      </c>
      <c r="I922" s="107"/>
      <c r="J922" s="107"/>
      <c r="K922" s="107">
        <v>76.98175</v>
      </c>
      <c r="L922" s="107">
        <v>27.46341</v>
      </c>
      <c r="M922" s="107">
        <v>39.12629</v>
      </c>
      <c r="N922" s="107"/>
      <c r="O922" s="106"/>
      <c r="P922" s="106"/>
      <c r="Q922" s="106"/>
      <c r="R922" s="106"/>
      <c r="S922" s="106">
        <v>21.42763</v>
      </c>
      <c r="T922" s="106">
        <v>10.71383</v>
      </c>
      <c r="U922" s="106"/>
      <c r="V922" s="106"/>
      <c r="W922" s="106"/>
      <c r="X922" s="106"/>
      <c r="Y922" s="107"/>
      <c r="Z922" s="107"/>
      <c r="AA922" s="159">
        <v>86.68121</v>
      </c>
      <c r="AB922" s="106">
        <v>51.499</v>
      </c>
      <c r="AC922" s="107"/>
      <c r="AD922" s="107"/>
      <c r="AE922" s="107"/>
      <c r="AF922" s="107"/>
      <c r="AG922" s="107"/>
      <c r="AH922" s="107"/>
      <c r="AI922" s="107"/>
      <c r="AJ922" s="108">
        <v>17.74476</v>
      </c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7"/>
      <c r="AV922" s="107"/>
      <c r="AW922" s="107"/>
      <c r="AX922" s="107"/>
      <c r="AY922" s="106"/>
      <c r="AZ922" s="107"/>
      <c r="BA922" s="107"/>
      <c r="BB922" s="107"/>
      <c r="BC922" s="107">
        <v>101.49407</v>
      </c>
      <c r="BD922" s="107">
        <v>99.53207</v>
      </c>
      <c r="BE922" s="107"/>
      <c r="BF922" s="107"/>
      <c r="BG922" s="107"/>
      <c r="BH922" s="107"/>
      <c r="BI922" s="107"/>
      <c r="BJ922" s="107">
        <v>116.01735</v>
      </c>
      <c r="BK922" s="107"/>
      <c r="BL922" s="107"/>
      <c r="BM922" s="107"/>
      <c r="BN922" s="107"/>
      <c r="BO922" s="107"/>
      <c r="BP922" s="107"/>
      <c r="BQ922" s="109"/>
      <c r="BR922" s="109"/>
      <c r="BS922" s="109"/>
      <c r="BT922" s="109"/>
      <c r="BU922" s="138"/>
    </row>
    <row r="923" spans="1:73" ht="36.75" customHeight="1" outlineLevel="2">
      <c r="A923" s="24" t="s">
        <v>838</v>
      </c>
      <c r="B923" s="19" t="s">
        <v>1059</v>
      </c>
      <c r="C923" s="20" t="s">
        <v>1496</v>
      </c>
      <c r="D923" s="218" t="s">
        <v>619</v>
      </c>
      <c r="E923" s="203" t="s">
        <v>2701</v>
      </c>
      <c r="F923" s="108">
        <f t="shared" si="162"/>
        <v>6303.633519999999</v>
      </c>
      <c r="G923" s="106">
        <f t="shared" si="165"/>
        <v>1827.5963199999999</v>
      </c>
      <c r="H923" s="106">
        <f t="shared" si="166"/>
        <v>4476.0372</v>
      </c>
      <c r="I923" s="107"/>
      <c r="J923" s="107"/>
      <c r="K923" s="107">
        <v>1111.34856</v>
      </c>
      <c r="L923" s="107">
        <v>249.56525</v>
      </c>
      <c r="M923" s="107">
        <v>298.13604</v>
      </c>
      <c r="N923" s="107"/>
      <c r="O923" s="106"/>
      <c r="P923" s="106"/>
      <c r="Q923" s="106"/>
      <c r="R923" s="106"/>
      <c r="S923" s="106">
        <v>116.0816</v>
      </c>
      <c r="T923" s="106">
        <v>58.0408</v>
      </c>
      <c r="U923" s="106"/>
      <c r="V923" s="106"/>
      <c r="W923" s="106"/>
      <c r="X923" s="106"/>
      <c r="Y923" s="107">
        <v>18.24</v>
      </c>
      <c r="Z923" s="107">
        <v>47.916</v>
      </c>
      <c r="AA923" s="159">
        <v>207.17763</v>
      </c>
      <c r="AB923" s="106">
        <v>114.88239</v>
      </c>
      <c r="AC923" s="107"/>
      <c r="AD923" s="107"/>
      <c r="AE923" s="107"/>
      <c r="AF923" s="107"/>
      <c r="AG923" s="107"/>
      <c r="AH923" s="107"/>
      <c r="AI923" s="107"/>
      <c r="AJ923" s="108">
        <v>125.81232</v>
      </c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7"/>
      <c r="AV923" s="107"/>
      <c r="AW923" s="107"/>
      <c r="AX923" s="107"/>
      <c r="AY923" s="106"/>
      <c r="AZ923" s="107"/>
      <c r="BA923" s="107"/>
      <c r="BB923" s="107"/>
      <c r="BC923" s="107">
        <v>374.74853</v>
      </c>
      <c r="BD923" s="107">
        <v>367.50687</v>
      </c>
      <c r="BE923" s="107"/>
      <c r="BF923" s="107"/>
      <c r="BG923" s="107"/>
      <c r="BH923" s="107"/>
      <c r="BI923" s="107"/>
      <c r="BJ923" s="107">
        <v>3214.17753</v>
      </c>
      <c r="BK923" s="107"/>
      <c r="BL923" s="107"/>
      <c r="BM923" s="107"/>
      <c r="BN923" s="107"/>
      <c r="BO923" s="107"/>
      <c r="BP923" s="107"/>
      <c r="BQ923" s="109"/>
      <c r="BR923" s="109"/>
      <c r="BS923" s="109"/>
      <c r="BT923" s="109"/>
      <c r="BU923" s="138"/>
    </row>
    <row r="924" spans="1:73" ht="21" customHeight="1" outlineLevel="2">
      <c r="A924" s="24" t="s">
        <v>838</v>
      </c>
      <c r="B924" s="19" t="s">
        <v>1638</v>
      </c>
      <c r="C924" s="20" t="s">
        <v>1496</v>
      </c>
      <c r="D924" s="218" t="s">
        <v>1686</v>
      </c>
      <c r="E924" s="203" t="s">
        <v>2710</v>
      </c>
      <c r="F924" s="108">
        <f t="shared" si="162"/>
        <v>34.956869999999995</v>
      </c>
      <c r="G924" s="106">
        <f t="shared" si="165"/>
        <v>17.64986</v>
      </c>
      <c r="H924" s="106">
        <f t="shared" si="166"/>
        <v>17.30701</v>
      </c>
      <c r="I924" s="107"/>
      <c r="J924" s="107"/>
      <c r="K924" s="107"/>
      <c r="L924" s="107"/>
      <c r="M924" s="107"/>
      <c r="N924" s="107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7"/>
      <c r="Z924" s="107"/>
      <c r="AA924" s="159"/>
      <c r="AB924" s="106"/>
      <c r="AC924" s="107"/>
      <c r="AD924" s="107"/>
      <c r="AE924" s="107"/>
      <c r="AF924" s="107"/>
      <c r="AG924" s="107"/>
      <c r="AH924" s="107"/>
      <c r="AI924" s="107"/>
      <c r="AJ924" s="108">
        <v>0</v>
      </c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7"/>
      <c r="AV924" s="107"/>
      <c r="AW924" s="107"/>
      <c r="AX924" s="107"/>
      <c r="AY924" s="106"/>
      <c r="AZ924" s="107"/>
      <c r="BA924" s="107"/>
      <c r="BB924" s="107"/>
      <c r="BC924" s="107">
        <v>17.64986</v>
      </c>
      <c r="BD924" s="107">
        <v>17.30701</v>
      </c>
      <c r="BE924" s="107"/>
      <c r="BF924" s="107"/>
      <c r="BG924" s="107"/>
      <c r="BH924" s="107"/>
      <c r="BI924" s="107"/>
      <c r="BJ924" s="107"/>
      <c r="BK924" s="107"/>
      <c r="BL924" s="107"/>
      <c r="BM924" s="107"/>
      <c r="BN924" s="107"/>
      <c r="BO924" s="107"/>
      <c r="BP924" s="107"/>
      <c r="BQ924" s="109"/>
      <c r="BR924" s="109"/>
      <c r="BS924" s="109"/>
      <c r="BT924" s="109"/>
      <c r="BU924" s="138"/>
    </row>
    <row r="925" spans="1:73" ht="28.5" customHeight="1" outlineLevel="2">
      <c r="A925" s="24" t="s">
        <v>838</v>
      </c>
      <c r="B925" s="19" t="s">
        <v>1057</v>
      </c>
      <c r="C925" s="20" t="s">
        <v>1496</v>
      </c>
      <c r="D925" s="218" t="s">
        <v>819</v>
      </c>
      <c r="E925" s="203" t="s">
        <v>2702</v>
      </c>
      <c r="F925" s="108">
        <f t="shared" si="162"/>
        <v>3765.8036200000006</v>
      </c>
      <c r="G925" s="106">
        <f t="shared" si="165"/>
        <v>1642.02549</v>
      </c>
      <c r="H925" s="106">
        <f t="shared" si="166"/>
        <v>2123.7781300000006</v>
      </c>
      <c r="I925" s="107"/>
      <c r="J925" s="107"/>
      <c r="K925" s="107">
        <v>979.94015</v>
      </c>
      <c r="L925" s="107">
        <v>162.03353</v>
      </c>
      <c r="M925" s="107">
        <v>355.56868</v>
      </c>
      <c r="N925" s="107"/>
      <c r="O925" s="106"/>
      <c r="P925" s="106"/>
      <c r="Q925" s="106">
        <v>30.20658</v>
      </c>
      <c r="R925" s="106"/>
      <c r="S925" s="106"/>
      <c r="T925" s="106"/>
      <c r="U925" s="106"/>
      <c r="V925" s="106"/>
      <c r="W925" s="106"/>
      <c r="X925" s="106"/>
      <c r="Y925" s="107">
        <v>21.28</v>
      </c>
      <c r="Z925" s="107">
        <v>55.902</v>
      </c>
      <c r="AA925" s="159">
        <v>183.56255</v>
      </c>
      <c r="AB925" s="106">
        <v>99.03655</v>
      </c>
      <c r="AC925" s="107"/>
      <c r="AD925" s="107"/>
      <c r="AE925" s="107"/>
      <c r="AF925" s="107"/>
      <c r="AG925" s="107"/>
      <c r="AH925" s="107"/>
      <c r="AI925" s="107"/>
      <c r="AJ925" s="108">
        <v>71.51676</v>
      </c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7"/>
      <c r="AV925" s="107"/>
      <c r="AW925" s="107"/>
      <c r="AX925" s="107"/>
      <c r="AY925" s="106"/>
      <c r="AZ925" s="107"/>
      <c r="BA925" s="107"/>
      <c r="BB925" s="107"/>
      <c r="BC925" s="107">
        <v>457.24279</v>
      </c>
      <c r="BD925" s="107">
        <v>448.41115</v>
      </c>
      <c r="BE925" s="107">
        <v>33.4</v>
      </c>
      <c r="BF925" s="107"/>
      <c r="BG925" s="107"/>
      <c r="BH925" s="107"/>
      <c r="BI925" s="107"/>
      <c r="BJ925" s="107">
        <v>867.70288</v>
      </c>
      <c r="BK925" s="107"/>
      <c r="BL925" s="107"/>
      <c r="BM925" s="107"/>
      <c r="BN925" s="107"/>
      <c r="BO925" s="107"/>
      <c r="BP925" s="107"/>
      <c r="BQ925" s="109"/>
      <c r="BR925" s="109"/>
      <c r="BS925" s="109"/>
      <c r="BT925" s="109"/>
      <c r="BU925" s="138"/>
    </row>
    <row r="926" spans="1:73" ht="28.5" customHeight="1" outlineLevel="2">
      <c r="A926" s="24" t="s">
        <v>838</v>
      </c>
      <c r="B926" s="19" t="s">
        <v>1062</v>
      </c>
      <c r="C926" s="20" t="s">
        <v>1496</v>
      </c>
      <c r="D926" s="218" t="s">
        <v>299</v>
      </c>
      <c r="E926" s="203" t="s">
        <v>2708</v>
      </c>
      <c r="F926" s="108">
        <f t="shared" si="162"/>
        <v>3458.59973</v>
      </c>
      <c r="G926" s="106">
        <f t="shared" si="165"/>
        <v>1451.3101</v>
      </c>
      <c r="H926" s="106">
        <f t="shared" si="166"/>
        <v>2007.28963</v>
      </c>
      <c r="I926" s="107"/>
      <c r="J926" s="107"/>
      <c r="K926" s="107">
        <v>784.04413</v>
      </c>
      <c r="L926" s="107">
        <v>168.88634</v>
      </c>
      <c r="M926" s="107">
        <v>90.61862</v>
      </c>
      <c r="N926" s="107"/>
      <c r="O926" s="106"/>
      <c r="P926" s="106"/>
      <c r="Q926" s="106"/>
      <c r="R926" s="106"/>
      <c r="S926" s="106">
        <v>14.81986</v>
      </c>
      <c r="T926" s="106">
        <v>7.40992</v>
      </c>
      <c r="U926" s="106"/>
      <c r="V926" s="106"/>
      <c r="W926" s="106"/>
      <c r="X926" s="106"/>
      <c r="Y926" s="107"/>
      <c r="Z926" s="107"/>
      <c r="AA926" s="159">
        <v>423.88066</v>
      </c>
      <c r="AB926" s="106">
        <v>237.68771</v>
      </c>
      <c r="AC926" s="107"/>
      <c r="AD926" s="107"/>
      <c r="AE926" s="107"/>
      <c r="AF926" s="107"/>
      <c r="AG926" s="107"/>
      <c r="AH926" s="107"/>
      <c r="AI926" s="107"/>
      <c r="AJ926" s="108">
        <v>44.63076</v>
      </c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7"/>
      <c r="AV926" s="107"/>
      <c r="AW926" s="107"/>
      <c r="AX926" s="107"/>
      <c r="AY926" s="106"/>
      <c r="AZ926" s="107"/>
      <c r="BA926" s="107"/>
      <c r="BB926" s="107"/>
      <c r="BC926" s="107">
        <v>228.56545</v>
      </c>
      <c r="BD926" s="107">
        <v>224.14156</v>
      </c>
      <c r="BE926" s="107">
        <v>925</v>
      </c>
      <c r="BF926" s="107"/>
      <c r="BG926" s="107"/>
      <c r="BH926" s="107"/>
      <c r="BI926" s="107"/>
      <c r="BJ926" s="107">
        <v>308.91472</v>
      </c>
      <c r="BK926" s="107"/>
      <c r="BL926" s="107"/>
      <c r="BM926" s="107"/>
      <c r="BN926" s="107"/>
      <c r="BO926" s="107"/>
      <c r="BP926" s="107"/>
      <c r="BQ926" s="109"/>
      <c r="BR926" s="109"/>
      <c r="BS926" s="109"/>
      <c r="BT926" s="109"/>
      <c r="BU926" s="138"/>
    </row>
    <row r="927" spans="1:73" ht="29.25" customHeight="1" outlineLevel="2">
      <c r="A927" s="35" t="s">
        <v>838</v>
      </c>
      <c r="B927" s="37" t="s">
        <v>1060</v>
      </c>
      <c r="C927" s="20" t="s">
        <v>1496</v>
      </c>
      <c r="D927" s="218" t="s">
        <v>820</v>
      </c>
      <c r="E927" s="203" t="s">
        <v>2703</v>
      </c>
      <c r="F927" s="108">
        <f t="shared" si="162"/>
        <v>927.12527</v>
      </c>
      <c r="G927" s="106">
        <f t="shared" si="165"/>
        <v>557.73017</v>
      </c>
      <c r="H927" s="106">
        <f t="shared" si="166"/>
        <v>369.39509999999996</v>
      </c>
      <c r="I927" s="107"/>
      <c r="J927" s="107"/>
      <c r="K927" s="107">
        <v>191.45668</v>
      </c>
      <c r="L927" s="107">
        <v>20.78829</v>
      </c>
      <c r="M927" s="107"/>
      <c r="N927" s="107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7"/>
      <c r="Z927" s="107"/>
      <c r="AA927" s="159">
        <v>194.51677</v>
      </c>
      <c r="AB927" s="106">
        <v>114.88239</v>
      </c>
      <c r="AC927" s="107"/>
      <c r="AD927" s="107"/>
      <c r="AE927" s="107"/>
      <c r="AF927" s="107"/>
      <c r="AG927" s="107"/>
      <c r="AH927" s="107"/>
      <c r="AI927" s="107"/>
      <c r="AJ927" s="108">
        <v>65.28648</v>
      </c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7"/>
      <c r="AV927" s="107"/>
      <c r="AW927" s="107"/>
      <c r="AX927" s="107"/>
      <c r="AY927" s="106"/>
      <c r="AZ927" s="107"/>
      <c r="BA927" s="107"/>
      <c r="BB927" s="107"/>
      <c r="BC927" s="107">
        <v>171.75672</v>
      </c>
      <c r="BD927" s="107">
        <v>168.43794</v>
      </c>
      <c r="BE927" s="107"/>
      <c r="BF927" s="107"/>
      <c r="BG927" s="107"/>
      <c r="BH927" s="107"/>
      <c r="BI927" s="107"/>
      <c r="BJ927" s="107"/>
      <c r="BK927" s="107"/>
      <c r="BL927" s="107"/>
      <c r="BM927" s="107"/>
      <c r="BN927" s="107"/>
      <c r="BO927" s="107"/>
      <c r="BP927" s="107"/>
      <c r="BQ927" s="109"/>
      <c r="BR927" s="109"/>
      <c r="BS927" s="109"/>
      <c r="BT927" s="109"/>
      <c r="BU927" s="138"/>
    </row>
    <row r="928" spans="1:73" ht="36" customHeight="1" outlineLevel="2">
      <c r="A928" s="24" t="s">
        <v>838</v>
      </c>
      <c r="B928" s="19" t="s">
        <v>518</v>
      </c>
      <c r="C928" s="20" t="s">
        <v>1496</v>
      </c>
      <c r="D928" s="218" t="s">
        <v>519</v>
      </c>
      <c r="E928" s="203" t="s">
        <v>2700</v>
      </c>
      <c r="F928" s="108">
        <f t="shared" si="162"/>
        <v>6381.72391</v>
      </c>
      <c r="G928" s="106">
        <f t="shared" si="165"/>
        <v>2048.34008</v>
      </c>
      <c r="H928" s="106">
        <f t="shared" si="166"/>
        <v>4333.38383</v>
      </c>
      <c r="I928" s="107"/>
      <c r="J928" s="107"/>
      <c r="K928" s="107"/>
      <c r="L928" s="107"/>
      <c r="M928" s="107"/>
      <c r="N928" s="107"/>
      <c r="O928" s="106"/>
      <c r="P928" s="106"/>
      <c r="Q928" s="106"/>
      <c r="R928" s="106"/>
      <c r="S928" s="106"/>
      <c r="T928" s="106"/>
      <c r="U928" s="106"/>
      <c r="V928" s="106"/>
      <c r="W928" s="106">
        <f>368.93149+462.58978</f>
        <v>831.52127</v>
      </c>
      <c r="X928" s="106">
        <f>192.60807+241.50425</f>
        <v>434.11232</v>
      </c>
      <c r="Y928" s="107">
        <v>38</v>
      </c>
      <c r="Z928" s="107">
        <v>99.825</v>
      </c>
      <c r="AA928" s="159">
        <f>159.47915+280.52526</f>
        <v>440.00441</v>
      </c>
      <c r="AB928" s="106">
        <f>87.94445+154.69508</f>
        <v>242.63952999999998</v>
      </c>
      <c r="AC928" s="107"/>
      <c r="AD928" s="107"/>
      <c r="AE928" s="107"/>
      <c r="AF928" s="107"/>
      <c r="AG928" s="107"/>
      <c r="AH928" s="107"/>
      <c r="AI928" s="107"/>
      <c r="AJ928" s="108">
        <v>340.0294</v>
      </c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7"/>
      <c r="AV928" s="107"/>
      <c r="AW928" s="107"/>
      <c r="AX928" s="107"/>
      <c r="AY928" s="106"/>
      <c r="AZ928" s="107"/>
      <c r="BA928" s="107"/>
      <c r="BB928" s="107"/>
      <c r="BC928" s="107">
        <v>738.8144</v>
      </c>
      <c r="BD928" s="107">
        <v>724.54934</v>
      </c>
      <c r="BE928" s="107"/>
      <c r="BF928" s="107"/>
      <c r="BG928" s="107"/>
      <c r="BH928" s="107"/>
      <c r="BI928" s="107"/>
      <c r="BJ928" s="107">
        <v>2492.22824</v>
      </c>
      <c r="BK928" s="107"/>
      <c r="BL928" s="107"/>
      <c r="BM928" s="107"/>
      <c r="BN928" s="107"/>
      <c r="BO928" s="107"/>
      <c r="BP928" s="107"/>
      <c r="BQ928" s="109"/>
      <c r="BR928" s="109"/>
      <c r="BS928" s="109"/>
      <c r="BT928" s="109"/>
      <c r="BU928" s="138"/>
    </row>
    <row r="929" spans="1:73" ht="29.25" customHeight="1" outlineLevel="2">
      <c r="A929" s="24" t="s">
        <v>838</v>
      </c>
      <c r="B929" s="19" t="s">
        <v>1061</v>
      </c>
      <c r="C929" s="20" t="s">
        <v>1496</v>
      </c>
      <c r="D929" s="218" t="s">
        <v>821</v>
      </c>
      <c r="E929" s="203" t="s">
        <v>2705</v>
      </c>
      <c r="F929" s="108">
        <f t="shared" si="162"/>
        <v>929.9197300000001</v>
      </c>
      <c r="G929" s="106">
        <f t="shared" si="165"/>
        <v>557.60342</v>
      </c>
      <c r="H929" s="106">
        <f t="shared" si="166"/>
        <v>372.31631000000004</v>
      </c>
      <c r="I929" s="107"/>
      <c r="J929" s="107"/>
      <c r="K929" s="107">
        <v>191.45668</v>
      </c>
      <c r="L929" s="107">
        <v>23.83383</v>
      </c>
      <c r="M929" s="107"/>
      <c r="N929" s="107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7"/>
      <c r="Z929" s="107"/>
      <c r="AA929" s="159">
        <v>194.51677</v>
      </c>
      <c r="AB929" s="106">
        <v>114.88239</v>
      </c>
      <c r="AC929" s="107"/>
      <c r="AD929" s="107"/>
      <c r="AE929" s="107"/>
      <c r="AF929" s="107"/>
      <c r="AG929" s="107"/>
      <c r="AH929" s="107"/>
      <c r="AI929" s="107"/>
      <c r="AJ929" s="108">
        <v>65.28648</v>
      </c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7"/>
      <c r="AV929" s="107"/>
      <c r="AW929" s="107"/>
      <c r="AX929" s="107"/>
      <c r="AY929" s="106"/>
      <c r="AZ929" s="107"/>
      <c r="BA929" s="107"/>
      <c r="BB929" s="107"/>
      <c r="BC929" s="107">
        <v>171.62997</v>
      </c>
      <c r="BD929" s="107">
        <v>168.31361</v>
      </c>
      <c r="BE929" s="107"/>
      <c r="BF929" s="107"/>
      <c r="BG929" s="107"/>
      <c r="BH929" s="107"/>
      <c r="BI929" s="107"/>
      <c r="BJ929" s="107"/>
      <c r="BK929" s="107"/>
      <c r="BL929" s="107"/>
      <c r="BM929" s="107"/>
      <c r="BN929" s="107"/>
      <c r="BO929" s="107"/>
      <c r="BP929" s="107"/>
      <c r="BQ929" s="109"/>
      <c r="BR929" s="109"/>
      <c r="BS929" s="109"/>
      <c r="BT929" s="109"/>
      <c r="BU929" s="138"/>
    </row>
    <row r="930" spans="1:73" ht="31.5" customHeight="1" outlineLevel="2">
      <c r="A930" s="24" t="s">
        <v>838</v>
      </c>
      <c r="B930" s="19" t="s">
        <v>817</v>
      </c>
      <c r="C930" s="20" t="s">
        <v>1496</v>
      </c>
      <c r="D930" s="218" t="s">
        <v>818</v>
      </c>
      <c r="E930" s="203" t="s">
        <v>2704</v>
      </c>
      <c r="F930" s="108">
        <f t="shared" si="162"/>
        <v>1947.75438</v>
      </c>
      <c r="G930" s="106">
        <f t="shared" si="165"/>
        <v>216.09155</v>
      </c>
      <c r="H930" s="106">
        <f t="shared" si="166"/>
        <v>1731.66283</v>
      </c>
      <c r="I930" s="107"/>
      <c r="J930" s="107"/>
      <c r="K930" s="107"/>
      <c r="L930" s="107"/>
      <c r="M930" s="107"/>
      <c r="N930" s="107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7"/>
      <c r="Z930" s="107"/>
      <c r="AA930" s="159"/>
      <c r="AB930" s="106"/>
      <c r="AC930" s="107"/>
      <c r="AD930" s="107"/>
      <c r="AE930" s="107"/>
      <c r="AF930" s="107"/>
      <c r="AG930" s="107"/>
      <c r="AH930" s="107"/>
      <c r="AI930" s="107"/>
      <c r="AJ930" s="108">
        <v>40.329</v>
      </c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7"/>
      <c r="AV930" s="107"/>
      <c r="AW930" s="107"/>
      <c r="AX930" s="107"/>
      <c r="AY930" s="106"/>
      <c r="AZ930" s="107"/>
      <c r="BA930" s="107">
        <v>302.7598</v>
      </c>
      <c r="BB930" s="107"/>
      <c r="BC930" s="107">
        <v>216.09155</v>
      </c>
      <c r="BD930" s="107">
        <v>211.91159</v>
      </c>
      <c r="BE930" s="107"/>
      <c r="BF930" s="107"/>
      <c r="BG930" s="107"/>
      <c r="BH930" s="107"/>
      <c r="BI930" s="107"/>
      <c r="BJ930" s="107">
        <v>1176.66244</v>
      </c>
      <c r="BK930" s="107"/>
      <c r="BL930" s="107"/>
      <c r="BM930" s="107"/>
      <c r="BN930" s="107"/>
      <c r="BO930" s="107"/>
      <c r="BP930" s="107"/>
      <c r="BQ930" s="109"/>
      <c r="BR930" s="109"/>
      <c r="BS930" s="109"/>
      <c r="BT930" s="109"/>
      <c r="BU930" s="138"/>
    </row>
    <row r="931" spans="1:73" ht="33.75" customHeight="1" outlineLevel="2">
      <c r="A931" s="24" t="s">
        <v>838</v>
      </c>
      <c r="B931" s="19" t="s">
        <v>320</v>
      </c>
      <c r="C931" s="20" t="s">
        <v>1496</v>
      </c>
      <c r="D931" s="218" t="s">
        <v>300</v>
      </c>
      <c r="E931" s="203" t="s">
        <v>2709</v>
      </c>
      <c r="F931" s="108">
        <f t="shared" si="162"/>
        <v>408.37811</v>
      </c>
      <c r="G931" s="106">
        <f t="shared" si="165"/>
        <v>207.21246000000002</v>
      </c>
      <c r="H931" s="106">
        <f t="shared" si="166"/>
        <v>201.16565</v>
      </c>
      <c r="I931" s="107">
        <v>57.60164</v>
      </c>
      <c r="J931" s="107">
        <v>24.24949</v>
      </c>
      <c r="K931" s="107"/>
      <c r="L931" s="107"/>
      <c r="M931" s="107"/>
      <c r="N931" s="107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7"/>
      <c r="Z931" s="107"/>
      <c r="AA931" s="159">
        <v>69.85299</v>
      </c>
      <c r="AB931" s="106">
        <v>43.57608</v>
      </c>
      <c r="AC931" s="107"/>
      <c r="AD931" s="107"/>
      <c r="AE931" s="107"/>
      <c r="AF931" s="107"/>
      <c r="AG931" s="107"/>
      <c r="AH931" s="107"/>
      <c r="AI931" s="107"/>
      <c r="AJ931" s="108">
        <v>13.443</v>
      </c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/>
      <c r="AV931" s="107"/>
      <c r="AW931" s="107"/>
      <c r="AX931" s="107"/>
      <c r="AY931" s="106"/>
      <c r="AZ931" s="107"/>
      <c r="BA931" s="107"/>
      <c r="BB931" s="107"/>
      <c r="BC931" s="107">
        <v>79.75783</v>
      </c>
      <c r="BD931" s="107">
        <v>78.21406</v>
      </c>
      <c r="BE931" s="107"/>
      <c r="BF931" s="107"/>
      <c r="BG931" s="107"/>
      <c r="BH931" s="107"/>
      <c r="BI931" s="107"/>
      <c r="BJ931" s="107">
        <v>41.68302</v>
      </c>
      <c r="BK931" s="107"/>
      <c r="BL931" s="107"/>
      <c r="BM931" s="107"/>
      <c r="BN931" s="107"/>
      <c r="BO931" s="107"/>
      <c r="BP931" s="107"/>
      <c r="BQ931" s="109"/>
      <c r="BR931" s="109"/>
      <c r="BS931" s="109"/>
      <c r="BT931" s="109"/>
      <c r="BU931" s="138"/>
    </row>
    <row r="932" spans="1:73" ht="36.75" customHeight="1" outlineLevel="2">
      <c r="A932" s="24" t="s">
        <v>838</v>
      </c>
      <c r="B932" s="19" t="s">
        <v>1637</v>
      </c>
      <c r="C932" s="20" t="s">
        <v>1496</v>
      </c>
      <c r="D932" s="218" t="s">
        <v>1687</v>
      </c>
      <c r="E932" s="203" t="s">
        <v>2713</v>
      </c>
      <c r="F932" s="108">
        <f t="shared" si="162"/>
        <v>846.85396</v>
      </c>
      <c r="G932" s="106">
        <f t="shared" si="165"/>
        <v>454.32884</v>
      </c>
      <c r="H932" s="106">
        <f t="shared" si="166"/>
        <v>392.52512</v>
      </c>
      <c r="I932" s="107"/>
      <c r="J932" s="107"/>
      <c r="K932" s="107"/>
      <c r="L932" s="107"/>
      <c r="M932" s="107"/>
      <c r="N932" s="107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7">
        <v>12.16</v>
      </c>
      <c r="Z932" s="107">
        <v>31.944</v>
      </c>
      <c r="AA932" s="159">
        <v>198.28526</v>
      </c>
      <c r="AB932" s="106">
        <v>121.4188</v>
      </c>
      <c r="AC932" s="107"/>
      <c r="AD932" s="107"/>
      <c r="AE932" s="107"/>
      <c r="AF932" s="107"/>
      <c r="AG932" s="107"/>
      <c r="AH932" s="107"/>
      <c r="AI932" s="107"/>
      <c r="AJ932" s="108">
        <v>0</v>
      </c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/>
      <c r="AV932" s="107"/>
      <c r="AW932" s="107"/>
      <c r="AX932" s="107"/>
      <c r="AY932" s="106"/>
      <c r="AZ932" s="107"/>
      <c r="BA932" s="107"/>
      <c r="BB932" s="107"/>
      <c r="BC932" s="107">
        <v>243.88358</v>
      </c>
      <c r="BD932" s="107">
        <v>239.16232</v>
      </c>
      <c r="BE932" s="107"/>
      <c r="BF932" s="107"/>
      <c r="BG932" s="107"/>
      <c r="BH932" s="107"/>
      <c r="BI932" s="107"/>
      <c r="BJ932" s="107"/>
      <c r="BK932" s="107"/>
      <c r="BL932" s="107"/>
      <c r="BM932" s="107"/>
      <c r="BN932" s="107"/>
      <c r="BO932" s="107"/>
      <c r="BP932" s="107"/>
      <c r="BQ932" s="109"/>
      <c r="BR932" s="109"/>
      <c r="BS932" s="109"/>
      <c r="BT932" s="109"/>
      <c r="BU932" s="138"/>
    </row>
    <row r="933" spans="1:73" ht="39.75" customHeight="1" outlineLevel="2">
      <c r="A933" s="19" t="s">
        <v>838</v>
      </c>
      <c r="B933" s="56" t="s">
        <v>1320</v>
      </c>
      <c r="C933" s="20" t="s">
        <v>587</v>
      </c>
      <c r="D933" s="239">
        <v>244000569853</v>
      </c>
      <c r="E933" s="242" t="s">
        <v>2714</v>
      </c>
      <c r="F933" s="108">
        <f t="shared" si="162"/>
        <v>74.21117000000001</v>
      </c>
      <c r="G933" s="106">
        <f t="shared" si="165"/>
        <v>37.69088</v>
      </c>
      <c r="H933" s="106">
        <f t="shared" si="166"/>
        <v>36.52029</v>
      </c>
      <c r="I933" s="107"/>
      <c r="J933" s="107"/>
      <c r="K933" s="107"/>
      <c r="L933" s="107"/>
      <c r="M933" s="107"/>
      <c r="N933" s="107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7"/>
      <c r="Z933" s="107"/>
      <c r="AA933" s="159">
        <v>14.38734</v>
      </c>
      <c r="AB933" s="106">
        <v>9.90365</v>
      </c>
      <c r="AC933" s="107"/>
      <c r="AD933" s="107"/>
      <c r="AE933" s="107"/>
      <c r="AF933" s="107"/>
      <c r="AG933" s="107"/>
      <c r="AH933" s="107"/>
      <c r="AI933" s="107"/>
      <c r="AJ933" s="108">
        <v>3.76404</v>
      </c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/>
      <c r="AV933" s="107"/>
      <c r="AW933" s="107"/>
      <c r="AX933" s="107"/>
      <c r="AY933" s="106"/>
      <c r="AZ933" s="107"/>
      <c r="BA933" s="107"/>
      <c r="BB933" s="107"/>
      <c r="BC933" s="107">
        <v>23.30354</v>
      </c>
      <c r="BD933" s="107">
        <v>22.8526</v>
      </c>
      <c r="BE933" s="107"/>
      <c r="BF933" s="107"/>
      <c r="BG933" s="107"/>
      <c r="BH933" s="107"/>
      <c r="BI933" s="107"/>
      <c r="BJ933" s="107"/>
      <c r="BK933" s="107"/>
      <c r="BL933" s="107"/>
      <c r="BM933" s="107"/>
      <c r="BN933" s="107"/>
      <c r="BO933" s="107"/>
      <c r="BP933" s="107"/>
      <c r="BQ933" s="109"/>
      <c r="BR933" s="109"/>
      <c r="BS933" s="109"/>
      <c r="BT933" s="109"/>
      <c r="BU933" s="138"/>
    </row>
    <row r="934" spans="1:73" ht="39.75" customHeight="1" outlineLevel="2">
      <c r="A934" s="35" t="s">
        <v>838</v>
      </c>
      <c r="B934" s="39" t="s">
        <v>169</v>
      </c>
      <c r="C934" s="20" t="s">
        <v>587</v>
      </c>
      <c r="D934" s="218" t="s">
        <v>516</v>
      </c>
      <c r="E934" s="220" t="s">
        <v>2715</v>
      </c>
      <c r="F934" s="108">
        <f t="shared" si="162"/>
        <v>1385.67994</v>
      </c>
      <c r="G934" s="106">
        <f t="shared" si="165"/>
        <v>354.54086</v>
      </c>
      <c r="H934" s="106">
        <f t="shared" si="166"/>
        <v>1031.13908</v>
      </c>
      <c r="I934" s="107"/>
      <c r="J934" s="107"/>
      <c r="K934" s="107">
        <v>85.92528</v>
      </c>
      <c r="L934" s="107">
        <v>30.88057</v>
      </c>
      <c r="M934" s="107"/>
      <c r="N934" s="107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7">
        <v>18.24</v>
      </c>
      <c r="Z934" s="107">
        <v>47.916</v>
      </c>
      <c r="AA934" s="159">
        <v>52.38974</v>
      </c>
      <c r="AB934" s="106">
        <v>31.69169</v>
      </c>
      <c r="AC934" s="107"/>
      <c r="AD934" s="107"/>
      <c r="AE934" s="107"/>
      <c r="AF934" s="107"/>
      <c r="AG934" s="107"/>
      <c r="AH934" s="107"/>
      <c r="AI934" s="107"/>
      <c r="AJ934" s="108">
        <v>67.43736</v>
      </c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7"/>
      <c r="AV934" s="107"/>
      <c r="AW934" s="107"/>
      <c r="AX934" s="107"/>
      <c r="AY934" s="106"/>
      <c r="AZ934" s="107"/>
      <c r="BA934" s="107"/>
      <c r="BB934" s="107"/>
      <c r="BC934" s="107">
        <v>197.98584</v>
      </c>
      <c r="BD934" s="107">
        <v>194.15992</v>
      </c>
      <c r="BE934" s="107"/>
      <c r="BF934" s="107"/>
      <c r="BG934" s="107"/>
      <c r="BH934" s="107"/>
      <c r="BI934" s="107"/>
      <c r="BJ934" s="107">
        <v>659.05354</v>
      </c>
      <c r="BK934" s="107"/>
      <c r="BL934" s="107"/>
      <c r="BM934" s="107"/>
      <c r="BN934" s="107"/>
      <c r="BO934" s="107"/>
      <c r="BP934" s="107"/>
      <c r="BQ934" s="109"/>
      <c r="BR934" s="109"/>
      <c r="BS934" s="109"/>
      <c r="BT934" s="109"/>
      <c r="BU934" s="138"/>
    </row>
    <row r="935" spans="1:73" ht="39.75" customHeight="1" outlineLevel="2">
      <c r="A935" s="19" t="s">
        <v>838</v>
      </c>
      <c r="B935" s="22" t="s">
        <v>1321</v>
      </c>
      <c r="C935" s="20" t="s">
        <v>710</v>
      </c>
      <c r="D935" s="218" t="s">
        <v>515</v>
      </c>
      <c r="E935" s="220" t="s">
        <v>2716</v>
      </c>
      <c r="F935" s="108">
        <f t="shared" si="162"/>
        <v>646.65264</v>
      </c>
      <c r="G935" s="106">
        <f t="shared" si="165"/>
        <v>369.64739</v>
      </c>
      <c r="H935" s="106">
        <f t="shared" si="166"/>
        <v>277.00525</v>
      </c>
      <c r="I935" s="107"/>
      <c r="J935" s="107"/>
      <c r="K935" s="107"/>
      <c r="L935" s="107"/>
      <c r="M935" s="107"/>
      <c r="N935" s="107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7"/>
      <c r="Z935" s="107"/>
      <c r="AA935" s="159">
        <v>208.3683</v>
      </c>
      <c r="AB935" s="106">
        <v>118.84385</v>
      </c>
      <c r="AC935" s="107"/>
      <c r="AD935" s="107"/>
      <c r="AE935" s="107"/>
      <c r="AF935" s="107"/>
      <c r="AG935" s="107"/>
      <c r="AH935" s="107"/>
      <c r="AI935" s="107"/>
      <c r="AJ935" s="108">
        <v>0</v>
      </c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7"/>
      <c r="AV935" s="107"/>
      <c r="AW935" s="107"/>
      <c r="AX935" s="107"/>
      <c r="AY935" s="106"/>
      <c r="AZ935" s="107"/>
      <c r="BA935" s="107"/>
      <c r="BB935" s="107"/>
      <c r="BC935" s="107">
        <v>161.27909</v>
      </c>
      <c r="BD935" s="107">
        <v>158.1614</v>
      </c>
      <c r="BE935" s="107"/>
      <c r="BF935" s="107"/>
      <c r="BG935" s="107"/>
      <c r="BH935" s="107"/>
      <c r="BI935" s="107"/>
      <c r="BJ935" s="107"/>
      <c r="BK935" s="107"/>
      <c r="BL935" s="107"/>
      <c r="BM935" s="107"/>
      <c r="BN935" s="107"/>
      <c r="BO935" s="107"/>
      <c r="BP935" s="107"/>
      <c r="BQ935" s="109"/>
      <c r="BR935" s="109"/>
      <c r="BS935" s="109"/>
      <c r="BT935" s="109"/>
      <c r="BU935" s="138"/>
    </row>
    <row r="936" spans="1:73" ht="32.25" customHeight="1" outlineLevel="2">
      <c r="A936" s="24" t="s">
        <v>838</v>
      </c>
      <c r="B936" s="19" t="s">
        <v>1232</v>
      </c>
      <c r="C936" s="20" t="s">
        <v>934</v>
      </c>
      <c r="D936" s="218" t="s">
        <v>1331</v>
      </c>
      <c r="E936" s="203" t="s">
        <v>2717</v>
      </c>
      <c r="F936" s="108">
        <f t="shared" si="162"/>
        <v>266.98284</v>
      </c>
      <c r="G936" s="106">
        <f t="shared" si="165"/>
        <v>25.40648</v>
      </c>
      <c r="H936" s="106">
        <f t="shared" si="166"/>
        <v>241.57636</v>
      </c>
      <c r="I936" s="107"/>
      <c r="J936" s="107"/>
      <c r="K936" s="107"/>
      <c r="L936" s="107"/>
      <c r="M936" s="107"/>
      <c r="N936" s="107"/>
      <c r="O936" s="106">
        <v>25.40648</v>
      </c>
      <c r="P936" s="106">
        <v>1.03081</v>
      </c>
      <c r="Q936" s="106"/>
      <c r="R936" s="106"/>
      <c r="S936" s="106"/>
      <c r="T936" s="106"/>
      <c r="U936" s="106"/>
      <c r="V936" s="106"/>
      <c r="W936" s="106"/>
      <c r="X936" s="106"/>
      <c r="Y936" s="107"/>
      <c r="Z936" s="107"/>
      <c r="AA936" s="106"/>
      <c r="AB936" s="106"/>
      <c r="AC936" s="107"/>
      <c r="AD936" s="107"/>
      <c r="AE936" s="107"/>
      <c r="AF936" s="107"/>
      <c r="AG936" s="107"/>
      <c r="AH936" s="107"/>
      <c r="AI936" s="107"/>
      <c r="AJ936" s="108">
        <v>0</v>
      </c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7"/>
      <c r="AV936" s="107"/>
      <c r="AW936" s="107"/>
      <c r="AX936" s="107"/>
      <c r="AY936" s="106"/>
      <c r="AZ936" s="107"/>
      <c r="BA936" s="107">
        <v>240.54555</v>
      </c>
      <c r="BB936" s="107"/>
      <c r="BC936" s="107"/>
      <c r="BD936" s="107"/>
      <c r="BE936" s="107"/>
      <c r="BF936" s="107"/>
      <c r="BG936" s="107"/>
      <c r="BH936" s="107"/>
      <c r="BI936" s="107"/>
      <c r="BJ936" s="107"/>
      <c r="BK936" s="107"/>
      <c r="BL936" s="107"/>
      <c r="BM936" s="107"/>
      <c r="BN936" s="107"/>
      <c r="BO936" s="107"/>
      <c r="BP936" s="107"/>
      <c r="BQ936" s="109"/>
      <c r="BR936" s="109"/>
      <c r="BS936" s="109"/>
      <c r="BT936" s="109"/>
      <c r="BU936" s="138"/>
    </row>
    <row r="937" spans="1:73" ht="36.75" customHeight="1" outlineLevel="2">
      <c r="A937" s="24" t="s">
        <v>838</v>
      </c>
      <c r="B937" s="19" t="s">
        <v>1233</v>
      </c>
      <c r="C937" s="20" t="s">
        <v>934</v>
      </c>
      <c r="D937" s="218" t="s">
        <v>1332</v>
      </c>
      <c r="E937" s="203" t="s">
        <v>2718</v>
      </c>
      <c r="F937" s="108">
        <f t="shared" si="162"/>
        <v>361.51494</v>
      </c>
      <c r="G937" s="106">
        <f t="shared" si="165"/>
        <v>345.75152</v>
      </c>
      <c r="H937" s="106">
        <f t="shared" si="166"/>
        <v>15.76342</v>
      </c>
      <c r="I937" s="107"/>
      <c r="J937" s="107"/>
      <c r="K937" s="107"/>
      <c r="L937" s="107"/>
      <c r="M937" s="107"/>
      <c r="N937" s="107"/>
      <c r="O937" s="106">
        <v>345.75152</v>
      </c>
      <c r="P937" s="106">
        <v>15.76342</v>
      </c>
      <c r="Q937" s="106"/>
      <c r="R937" s="106"/>
      <c r="S937" s="106"/>
      <c r="T937" s="106"/>
      <c r="U937" s="106"/>
      <c r="V937" s="106"/>
      <c r="W937" s="106"/>
      <c r="X937" s="106"/>
      <c r="Y937" s="107"/>
      <c r="Z937" s="107"/>
      <c r="AA937" s="106"/>
      <c r="AB937" s="106"/>
      <c r="AC937" s="107"/>
      <c r="AD937" s="107"/>
      <c r="AE937" s="107"/>
      <c r="AF937" s="107"/>
      <c r="AG937" s="107"/>
      <c r="AH937" s="107"/>
      <c r="AI937" s="107"/>
      <c r="AJ937" s="108">
        <v>0</v>
      </c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7"/>
      <c r="AV937" s="107"/>
      <c r="AW937" s="107"/>
      <c r="AX937" s="107"/>
      <c r="AY937" s="106"/>
      <c r="AZ937" s="107"/>
      <c r="BA937" s="107"/>
      <c r="BB937" s="107"/>
      <c r="BC937" s="107"/>
      <c r="BD937" s="107"/>
      <c r="BE937" s="107"/>
      <c r="BF937" s="107"/>
      <c r="BG937" s="107"/>
      <c r="BH937" s="107"/>
      <c r="BI937" s="107"/>
      <c r="BJ937" s="107"/>
      <c r="BK937" s="107"/>
      <c r="BL937" s="107"/>
      <c r="BM937" s="107"/>
      <c r="BN937" s="107"/>
      <c r="BO937" s="107"/>
      <c r="BP937" s="107"/>
      <c r="BQ937" s="109"/>
      <c r="BR937" s="109"/>
      <c r="BS937" s="109"/>
      <c r="BT937" s="109"/>
      <c r="BU937" s="138"/>
    </row>
    <row r="938" spans="1:73" ht="34.5" customHeight="1" outlineLevel="2">
      <c r="A938" s="24" t="s">
        <v>838</v>
      </c>
      <c r="B938" s="19" t="s">
        <v>1135</v>
      </c>
      <c r="C938" s="20" t="s">
        <v>934</v>
      </c>
      <c r="D938" s="218" t="s">
        <v>1113</v>
      </c>
      <c r="E938" s="203" t="s">
        <v>2719</v>
      </c>
      <c r="F938" s="108">
        <f t="shared" si="162"/>
        <v>456.67114000000004</v>
      </c>
      <c r="G938" s="106">
        <f t="shared" si="165"/>
        <v>436.91849</v>
      </c>
      <c r="H938" s="106">
        <f t="shared" si="166"/>
        <v>19.75265</v>
      </c>
      <c r="I938" s="107"/>
      <c r="J938" s="107"/>
      <c r="K938" s="107"/>
      <c r="L938" s="107"/>
      <c r="M938" s="107"/>
      <c r="N938" s="107"/>
      <c r="O938" s="106">
        <v>436.91849</v>
      </c>
      <c r="P938" s="106">
        <v>19.75265</v>
      </c>
      <c r="Q938" s="106"/>
      <c r="R938" s="106"/>
      <c r="S938" s="106"/>
      <c r="T938" s="106"/>
      <c r="U938" s="106"/>
      <c r="V938" s="106"/>
      <c r="W938" s="106"/>
      <c r="X938" s="106"/>
      <c r="Y938" s="107"/>
      <c r="Z938" s="107"/>
      <c r="AA938" s="106"/>
      <c r="AB938" s="106"/>
      <c r="AC938" s="107"/>
      <c r="AD938" s="107"/>
      <c r="AE938" s="107"/>
      <c r="AF938" s="107"/>
      <c r="AG938" s="107"/>
      <c r="AH938" s="107"/>
      <c r="AI938" s="107"/>
      <c r="AJ938" s="108">
        <v>0</v>
      </c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7"/>
      <c r="AV938" s="107"/>
      <c r="AW938" s="107"/>
      <c r="AX938" s="107"/>
      <c r="AY938" s="106"/>
      <c r="AZ938" s="107"/>
      <c r="BA938" s="107"/>
      <c r="BB938" s="107"/>
      <c r="BC938" s="107"/>
      <c r="BD938" s="107"/>
      <c r="BE938" s="107"/>
      <c r="BF938" s="107"/>
      <c r="BG938" s="107"/>
      <c r="BH938" s="107"/>
      <c r="BI938" s="107"/>
      <c r="BJ938" s="107"/>
      <c r="BK938" s="107"/>
      <c r="BL938" s="107"/>
      <c r="BM938" s="107"/>
      <c r="BN938" s="107"/>
      <c r="BO938" s="107"/>
      <c r="BP938" s="107"/>
      <c r="BQ938" s="109"/>
      <c r="BR938" s="109"/>
      <c r="BS938" s="109"/>
      <c r="BT938" s="109"/>
      <c r="BU938" s="138"/>
    </row>
    <row r="939" spans="1:73" ht="39.75" customHeight="1" outlineLevel="2" thickBot="1">
      <c r="A939" s="2" t="s">
        <v>838</v>
      </c>
      <c r="B939" s="33" t="s">
        <v>1729</v>
      </c>
      <c r="C939" s="4" t="s">
        <v>1422</v>
      </c>
      <c r="D939" s="230" t="s">
        <v>2721</v>
      </c>
      <c r="E939" s="203" t="s">
        <v>2720</v>
      </c>
      <c r="F939" s="108">
        <f t="shared" si="162"/>
        <v>8.0658</v>
      </c>
      <c r="G939" s="106">
        <f t="shared" si="165"/>
        <v>0</v>
      </c>
      <c r="H939" s="106">
        <f t="shared" si="166"/>
        <v>8.0658</v>
      </c>
      <c r="I939" s="119"/>
      <c r="J939" s="119"/>
      <c r="K939" s="119"/>
      <c r="L939" s="119"/>
      <c r="M939" s="119"/>
      <c r="N939" s="119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19"/>
      <c r="Z939" s="119"/>
      <c r="AA939" s="163"/>
      <c r="AB939" s="120"/>
      <c r="AC939" s="119"/>
      <c r="AD939" s="119"/>
      <c r="AE939" s="119"/>
      <c r="AF939" s="119"/>
      <c r="AG939" s="119"/>
      <c r="AH939" s="119"/>
      <c r="AI939" s="119"/>
      <c r="AJ939" s="108">
        <v>8.0658</v>
      </c>
      <c r="AK939" s="119"/>
      <c r="AL939" s="119"/>
      <c r="AM939" s="119"/>
      <c r="AN939" s="119"/>
      <c r="AO939" s="119"/>
      <c r="AP939" s="119"/>
      <c r="AQ939" s="119"/>
      <c r="AR939" s="119"/>
      <c r="AS939" s="119"/>
      <c r="AT939" s="119"/>
      <c r="AU939" s="119"/>
      <c r="AV939" s="119"/>
      <c r="AW939" s="119"/>
      <c r="AX939" s="119"/>
      <c r="AY939" s="120"/>
      <c r="AZ939" s="119"/>
      <c r="BA939" s="119"/>
      <c r="BB939" s="119"/>
      <c r="BC939" s="119"/>
      <c r="BD939" s="119"/>
      <c r="BE939" s="119"/>
      <c r="BF939" s="119"/>
      <c r="BG939" s="119"/>
      <c r="BH939" s="119"/>
      <c r="BI939" s="119"/>
      <c r="BJ939" s="119"/>
      <c r="BK939" s="119"/>
      <c r="BL939" s="119"/>
      <c r="BM939" s="119"/>
      <c r="BN939" s="119"/>
      <c r="BO939" s="119"/>
      <c r="BP939" s="119"/>
      <c r="BQ939" s="121"/>
      <c r="BR939" s="121"/>
      <c r="BS939" s="121"/>
      <c r="BT939" s="121"/>
      <c r="BU939" s="140"/>
    </row>
    <row r="940" spans="1:73" s="32" customFormat="1" ht="21" outlineLevel="1" thickBot="1">
      <c r="A940" s="40" t="s">
        <v>1073</v>
      </c>
      <c r="B940" s="57"/>
      <c r="C940" s="30" t="s">
        <v>1572</v>
      </c>
      <c r="D940" s="222"/>
      <c r="E940" s="223"/>
      <c r="F940" s="117">
        <f aca="true" t="shared" si="167" ref="F940:BJ940">SUBTOTAL(9,F918:F939)</f>
        <v>39523.93354</v>
      </c>
      <c r="G940" s="117">
        <f t="shared" si="167"/>
        <v>14790.828259999998</v>
      </c>
      <c r="H940" s="117">
        <f t="shared" si="167"/>
        <v>24733.105279999992</v>
      </c>
      <c r="I940" s="117">
        <f t="shared" si="167"/>
        <v>258.06038</v>
      </c>
      <c r="J940" s="117">
        <f t="shared" si="167"/>
        <v>74.98107999999999</v>
      </c>
      <c r="K940" s="117">
        <f t="shared" si="167"/>
        <v>3421.1532300000003</v>
      </c>
      <c r="L940" s="117">
        <f t="shared" si="167"/>
        <v>683.45122</v>
      </c>
      <c r="M940" s="117">
        <f t="shared" si="167"/>
        <v>783.4496299999998</v>
      </c>
      <c r="N940" s="117">
        <f t="shared" si="167"/>
        <v>0</v>
      </c>
      <c r="O940" s="117">
        <f t="shared" si="167"/>
        <v>808.07649</v>
      </c>
      <c r="P940" s="117">
        <f t="shared" si="167"/>
        <v>36.54688</v>
      </c>
      <c r="Q940" s="117">
        <f t="shared" si="167"/>
        <v>30.20658</v>
      </c>
      <c r="R940" s="117">
        <f t="shared" si="167"/>
        <v>0</v>
      </c>
      <c r="S940" s="117">
        <f t="shared" si="167"/>
        <v>267.80397</v>
      </c>
      <c r="T940" s="117">
        <f t="shared" si="167"/>
        <v>105.03326</v>
      </c>
      <c r="U940" s="117">
        <f t="shared" si="167"/>
        <v>0</v>
      </c>
      <c r="V940" s="117">
        <f t="shared" si="167"/>
        <v>0</v>
      </c>
      <c r="W940" s="117">
        <f t="shared" si="167"/>
        <v>831.52127</v>
      </c>
      <c r="X940" s="117">
        <f t="shared" si="167"/>
        <v>434.11232</v>
      </c>
      <c r="Y940" s="117">
        <f t="shared" si="167"/>
        <v>290.70970000000005</v>
      </c>
      <c r="Z940" s="117">
        <f t="shared" si="167"/>
        <v>977.4864</v>
      </c>
      <c r="AA940" s="117">
        <f t="shared" si="167"/>
        <v>3036.5691300000003</v>
      </c>
      <c r="AB940" s="117">
        <f t="shared" si="167"/>
        <v>1715.90716</v>
      </c>
      <c r="AC940" s="117">
        <f t="shared" si="167"/>
        <v>0</v>
      </c>
      <c r="AD940" s="117">
        <f t="shared" si="167"/>
        <v>0</v>
      </c>
      <c r="AE940" s="117">
        <f t="shared" si="167"/>
        <v>0</v>
      </c>
      <c r="AF940" s="117">
        <f t="shared" si="167"/>
        <v>0</v>
      </c>
      <c r="AG940" s="117">
        <f t="shared" si="167"/>
        <v>0</v>
      </c>
      <c r="AH940" s="117">
        <f t="shared" si="167"/>
        <v>0</v>
      </c>
      <c r="AI940" s="117">
        <f t="shared" si="167"/>
        <v>0</v>
      </c>
      <c r="AJ940" s="117">
        <f>SUBTOTAL(9,AJ918:AJ939)</f>
        <v>1006.8385599999999</v>
      </c>
      <c r="AK940" s="117">
        <f t="shared" si="167"/>
        <v>0</v>
      </c>
      <c r="AL940" s="117">
        <f t="shared" si="167"/>
        <v>0</v>
      </c>
      <c r="AM940" s="117">
        <f t="shared" si="167"/>
        <v>0</v>
      </c>
      <c r="AN940" s="117">
        <f t="shared" si="167"/>
        <v>2530</v>
      </c>
      <c r="AO940" s="117">
        <f t="shared" si="167"/>
        <v>0</v>
      </c>
      <c r="AP940" s="117">
        <f t="shared" si="167"/>
        <v>0</v>
      </c>
      <c r="AQ940" s="117">
        <f t="shared" si="167"/>
        <v>0</v>
      </c>
      <c r="AR940" s="117">
        <f t="shared" si="167"/>
        <v>0</v>
      </c>
      <c r="AS940" s="117">
        <f t="shared" si="167"/>
        <v>0</v>
      </c>
      <c r="AT940" s="117">
        <f t="shared" si="167"/>
        <v>0</v>
      </c>
      <c r="AU940" s="117">
        <f t="shared" si="167"/>
        <v>0</v>
      </c>
      <c r="AV940" s="117">
        <f t="shared" si="167"/>
        <v>0</v>
      </c>
      <c r="AW940" s="117">
        <f t="shared" si="167"/>
        <v>0</v>
      </c>
      <c r="AX940" s="117">
        <f t="shared" si="167"/>
        <v>879.22744</v>
      </c>
      <c r="AY940" s="117">
        <f t="shared" si="167"/>
        <v>318.59393</v>
      </c>
      <c r="AZ940" s="117">
        <f t="shared" si="167"/>
        <v>0</v>
      </c>
      <c r="BA940" s="117">
        <f t="shared" si="167"/>
        <v>648.81045</v>
      </c>
      <c r="BB940" s="117">
        <f t="shared" si="167"/>
        <v>0</v>
      </c>
      <c r="BC940" s="117">
        <f t="shared" si="167"/>
        <v>4997.706649999999</v>
      </c>
      <c r="BD940" s="117">
        <f t="shared" si="167"/>
        <v>4901.14401</v>
      </c>
      <c r="BE940" s="117">
        <f t="shared" si="167"/>
        <v>1158.37759</v>
      </c>
      <c r="BF940" s="117">
        <f t="shared" si="167"/>
        <v>0</v>
      </c>
      <c r="BG940" s="117">
        <f t="shared" si="167"/>
        <v>0</v>
      </c>
      <c r="BH940" s="117">
        <f t="shared" si="167"/>
        <v>0</v>
      </c>
      <c r="BI940" s="117">
        <f t="shared" si="167"/>
        <v>0</v>
      </c>
      <c r="BJ940" s="117">
        <f t="shared" si="167"/>
        <v>8974.494920000001</v>
      </c>
      <c r="BK940" s="117"/>
      <c r="BL940" s="117">
        <f aca="true" t="shared" si="168" ref="BL940:BU940">SUBTOTAL(9,BL918:BL939)</f>
        <v>0</v>
      </c>
      <c r="BM940" s="117">
        <f t="shared" si="168"/>
        <v>353.67129</v>
      </c>
      <c r="BN940" s="117">
        <f t="shared" si="168"/>
        <v>0</v>
      </c>
      <c r="BO940" s="117">
        <f t="shared" si="168"/>
        <v>0</v>
      </c>
      <c r="BP940" s="117">
        <f t="shared" si="168"/>
        <v>0</v>
      </c>
      <c r="BQ940" s="117">
        <f t="shared" si="168"/>
        <v>0</v>
      </c>
      <c r="BR940" s="117">
        <f t="shared" si="168"/>
        <v>0</v>
      </c>
      <c r="BS940" s="117">
        <f t="shared" si="168"/>
        <v>0</v>
      </c>
      <c r="BT940" s="117">
        <f t="shared" si="168"/>
        <v>0</v>
      </c>
      <c r="BU940" s="117">
        <f t="shared" si="168"/>
        <v>0</v>
      </c>
    </row>
    <row r="941" spans="1:73" ht="29.25" customHeight="1" outlineLevel="2">
      <c r="A941" s="2" t="s">
        <v>1074</v>
      </c>
      <c r="B941" s="33" t="s">
        <v>30</v>
      </c>
      <c r="C941" s="4" t="s">
        <v>1496</v>
      </c>
      <c r="D941" s="230" t="s">
        <v>1075</v>
      </c>
      <c r="E941" s="203" t="s">
        <v>2722</v>
      </c>
      <c r="F941" s="108">
        <f t="shared" si="162"/>
        <v>25067.88916</v>
      </c>
      <c r="G941" s="106">
        <f>I941+K941+O941+S941+U941+W941+Y941+AA941+AC941+AE941+AR941+AX941+BC941+BG941+BP941+BR941+BT941+AO941</f>
        <v>11840.24995</v>
      </c>
      <c r="H941" s="106">
        <f>J941+L941+M941+N941+P941+Q941+R941+T941+V941+X941+Z941+AB941+AD941+AF941+AG941+AJ941+AL941+AS941+AT941+AU941+AV941+AW941+AY941+AZ941+BA941+BB941+BD941+BE941+BF941+BH941+BI941+BJ941+BL941+BM941+BN941+BO941+BQ941+BS941+BU941+AH941+AI941+AK941+AM941+AN941+AP941+AQ941+BK941</f>
        <v>13227.639210000001</v>
      </c>
      <c r="I941" s="119"/>
      <c r="J941" s="119"/>
      <c r="K941" s="119">
        <v>1651.58513</v>
      </c>
      <c r="L941" s="119">
        <v>407.38066</v>
      </c>
      <c r="M941" s="119"/>
      <c r="N941" s="119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19"/>
      <c r="Z941" s="119"/>
      <c r="AA941" s="163">
        <v>1695.25872</v>
      </c>
      <c r="AB941" s="120">
        <v>1043.84519</v>
      </c>
      <c r="AC941" s="119"/>
      <c r="AD941" s="119"/>
      <c r="AE941" s="119"/>
      <c r="AF941" s="119"/>
      <c r="AG941" s="119"/>
      <c r="AH941" s="119"/>
      <c r="AI941" s="119"/>
      <c r="AJ941" s="108">
        <v>423.59496</v>
      </c>
      <c r="AK941" s="119"/>
      <c r="AL941" s="119"/>
      <c r="AM941" s="119"/>
      <c r="AN941" s="119"/>
      <c r="AO941" s="119"/>
      <c r="AP941" s="119"/>
      <c r="AQ941" s="119"/>
      <c r="AR941" s="119"/>
      <c r="AS941" s="119"/>
      <c r="AT941" s="119"/>
      <c r="AU941" s="119"/>
      <c r="AV941" s="119"/>
      <c r="AW941" s="119"/>
      <c r="AX941" s="119">
        <v>2732.99818</v>
      </c>
      <c r="AY941" s="120"/>
      <c r="AZ941" s="119"/>
      <c r="BA941" s="119"/>
      <c r="BB941" s="119"/>
      <c r="BC941" s="119">
        <v>5760.40792</v>
      </c>
      <c r="BD941" s="119">
        <v>5649.27171</v>
      </c>
      <c r="BE941" s="119">
        <v>747.49208</v>
      </c>
      <c r="BF941" s="119"/>
      <c r="BG941" s="119"/>
      <c r="BH941" s="119"/>
      <c r="BI941" s="119"/>
      <c r="BJ941" s="119">
        <v>4956.05461</v>
      </c>
      <c r="BK941" s="119"/>
      <c r="BL941" s="119"/>
      <c r="BM941" s="119"/>
      <c r="BN941" s="119"/>
      <c r="BO941" s="119"/>
      <c r="BP941" s="119"/>
      <c r="BQ941" s="121"/>
      <c r="BR941" s="121"/>
      <c r="BS941" s="121"/>
      <c r="BT941" s="121"/>
      <c r="BU941" s="140"/>
    </row>
    <row r="942" spans="1:73" ht="28.5" customHeight="1" outlineLevel="2">
      <c r="A942" s="35" t="s">
        <v>1074</v>
      </c>
      <c r="B942" s="37" t="s">
        <v>31</v>
      </c>
      <c r="C942" s="20" t="s">
        <v>1496</v>
      </c>
      <c r="D942" s="218" t="s">
        <v>247</v>
      </c>
      <c r="E942" s="203" t="s">
        <v>2723</v>
      </c>
      <c r="F942" s="108">
        <f t="shared" si="162"/>
        <v>32932.32249</v>
      </c>
      <c r="G942" s="106">
        <f aca="true" t="shared" si="169" ref="G942:G960">I942+K942+O942+S942+U942+W942+Y942+AA942+AC942+AE942+AR942+AX942+BC942+BG942+BP942+BR942+BT942+AO942</f>
        <v>17388.22757</v>
      </c>
      <c r="H942" s="106">
        <f aca="true" t="shared" si="170" ref="H942:H960">J942+L942+M942+N942+P942+Q942+R942+T942+V942+X942+Z942+AB942+AD942+AF942+AG942+AJ942+AL942+AS942+AT942+AU942+AV942+AW942+AY942+AZ942+BA942+BB942+BD942+BE942+BF942+BH942+BI942+BJ942+BL942+BM942+BN942+BO942+BQ942+BS942+BU942+AH942+AI942+AK942+AM942+AN942+AP942+AQ942+BK942</f>
        <v>15544.09492</v>
      </c>
      <c r="I942" s="107"/>
      <c r="J942" s="107"/>
      <c r="K942" s="107">
        <v>5279.9684</v>
      </c>
      <c r="L942" s="107">
        <v>968.02508</v>
      </c>
      <c r="M942" s="107">
        <v>485.71011</v>
      </c>
      <c r="N942" s="107"/>
      <c r="O942" s="106"/>
      <c r="P942" s="106"/>
      <c r="Q942" s="106">
        <v>1577.41945</v>
      </c>
      <c r="R942" s="106"/>
      <c r="S942" s="106"/>
      <c r="T942" s="106"/>
      <c r="U942" s="106"/>
      <c r="V942" s="106"/>
      <c r="W942" s="106">
        <v>4995.00557</v>
      </c>
      <c r="X942" s="106">
        <v>2607.74263</v>
      </c>
      <c r="Y942" s="107"/>
      <c r="Z942" s="107"/>
      <c r="AA942" s="159">
        <v>1981.70402</v>
      </c>
      <c r="AB942" s="106">
        <v>1144.66439</v>
      </c>
      <c r="AC942" s="107"/>
      <c r="AD942" s="107"/>
      <c r="AE942" s="107"/>
      <c r="AF942" s="107"/>
      <c r="AG942" s="107"/>
      <c r="AH942" s="107"/>
      <c r="AI942" s="107"/>
      <c r="AJ942" s="108">
        <v>0</v>
      </c>
      <c r="AK942" s="107">
        <v>103.839</v>
      </c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7"/>
      <c r="AV942" s="107">
        <v>149.76</v>
      </c>
      <c r="AW942" s="107"/>
      <c r="AX942" s="107"/>
      <c r="AY942" s="106">
        <v>997.94718</v>
      </c>
      <c r="AZ942" s="107"/>
      <c r="BA942" s="107">
        <v>562.36887</v>
      </c>
      <c r="BB942" s="107"/>
      <c r="BC942" s="107">
        <v>5131.54958</v>
      </c>
      <c r="BD942" s="107">
        <v>5032.47443</v>
      </c>
      <c r="BE942" s="107">
        <v>60</v>
      </c>
      <c r="BF942" s="107"/>
      <c r="BG942" s="107"/>
      <c r="BH942" s="107"/>
      <c r="BI942" s="107"/>
      <c r="BJ942" s="107">
        <v>1854.14378</v>
      </c>
      <c r="BK942" s="107"/>
      <c r="BL942" s="107"/>
      <c r="BM942" s="107"/>
      <c r="BN942" s="107"/>
      <c r="BO942" s="107"/>
      <c r="BP942" s="107"/>
      <c r="BQ942" s="109"/>
      <c r="BR942" s="109"/>
      <c r="BS942" s="109"/>
      <c r="BT942" s="109"/>
      <c r="BU942" s="138"/>
    </row>
    <row r="943" spans="1:73" ht="40.5" customHeight="1" outlineLevel="2">
      <c r="A943" s="24" t="s">
        <v>1074</v>
      </c>
      <c r="B943" s="37" t="s">
        <v>1375</v>
      </c>
      <c r="C943" s="20" t="s">
        <v>1496</v>
      </c>
      <c r="D943" s="218" t="s">
        <v>155</v>
      </c>
      <c r="E943" s="203" t="s">
        <v>2725</v>
      </c>
      <c r="F943" s="108">
        <f t="shared" si="162"/>
        <v>35058.68026</v>
      </c>
      <c r="G943" s="106">
        <f t="shared" si="169"/>
        <v>8950.41314</v>
      </c>
      <c r="H943" s="106">
        <f t="shared" si="170"/>
        <v>26108.26712</v>
      </c>
      <c r="I943" s="107">
        <v>1241.32157</v>
      </c>
      <c r="J943" s="107">
        <v>261.82679</v>
      </c>
      <c r="K943" s="107">
        <v>1088.38303</v>
      </c>
      <c r="L943" s="107">
        <v>202.55982</v>
      </c>
      <c r="M943" s="107"/>
      <c r="N943" s="107"/>
      <c r="O943" s="106"/>
      <c r="P943" s="106"/>
      <c r="Q943" s="106">
        <v>110.08476</v>
      </c>
      <c r="R943" s="106"/>
      <c r="S943" s="106">
        <v>333.86756</v>
      </c>
      <c r="T943" s="106">
        <v>166.93376</v>
      </c>
      <c r="U943" s="106"/>
      <c r="V943" s="106"/>
      <c r="W943" s="106">
        <v>2549.67018</v>
      </c>
      <c r="X943" s="106">
        <v>1331.10636</v>
      </c>
      <c r="Y943" s="107"/>
      <c r="Z943" s="107"/>
      <c r="AA943" s="159">
        <v>809.87164</v>
      </c>
      <c r="AB943" s="106">
        <v>356.53156</v>
      </c>
      <c r="AC943" s="107">
        <v>1035.19061</v>
      </c>
      <c r="AD943" s="107">
        <v>540.44198</v>
      </c>
      <c r="AE943" s="107"/>
      <c r="AF943" s="107"/>
      <c r="AG943" s="107"/>
      <c r="AH943" s="107"/>
      <c r="AI943" s="107"/>
      <c r="AJ943" s="108">
        <v>544.79724</v>
      </c>
      <c r="AK943" s="107"/>
      <c r="AL943" s="107"/>
      <c r="AM943" s="107">
        <v>446.355</v>
      </c>
      <c r="AN943" s="107">
        <v>6370.57</v>
      </c>
      <c r="AO943" s="107"/>
      <c r="AP943" s="107"/>
      <c r="AQ943" s="107"/>
      <c r="AR943" s="107"/>
      <c r="AS943" s="107"/>
      <c r="AT943" s="107"/>
      <c r="AU943" s="107"/>
      <c r="AV943" s="107"/>
      <c r="AW943" s="107"/>
      <c r="AX943" s="107"/>
      <c r="AY943" s="106"/>
      <c r="AZ943" s="107">
        <v>8674.794</v>
      </c>
      <c r="BA943" s="107">
        <f>2155.33582+2290.66118</f>
        <v>4445.996999999999</v>
      </c>
      <c r="BB943" s="107"/>
      <c r="BC943" s="107">
        <v>1892.10855</v>
      </c>
      <c r="BD943" s="107">
        <v>1855.63922</v>
      </c>
      <c r="BE943" s="107">
        <v>120.96026</v>
      </c>
      <c r="BF943" s="107"/>
      <c r="BG943" s="107"/>
      <c r="BH943" s="107"/>
      <c r="BI943" s="107"/>
      <c r="BJ943" s="107">
        <v>679.66937</v>
      </c>
      <c r="BK943" s="107"/>
      <c r="BL943" s="107"/>
      <c r="BM943" s="107"/>
      <c r="BN943" s="107"/>
      <c r="BO943" s="107"/>
      <c r="BP943" s="107"/>
      <c r="BQ943" s="109"/>
      <c r="BR943" s="109"/>
      <c r="BS943" s="109"/>
      <c r="BT943" s="109"/>
      <c r="BU943" s="138"/>
    </row>
    <row r="944" spans="1:73" ht="48.75" customHeight="1" outlineLevel="2">
      <c r="A944" s="24" t="s">
        <v>1074</v>
      </c>
      <c r="B944" s="37" t="s">
        <v>74</v>
      </c>
      <c r="C944" s="20" t="s">
        <v>1496</v>
      </c>
      <c r="D944" s="218" t="s">
        <v>75</v>
      </c>
      <c r="E944" s="203" t="s">
        <v>2724</v>
      </c>
      <c r="F944" s="108">
        <f t="shared" si="162"/>
        <v>26841.309549999998</v>
      </c>
      <c r="G944" s="106">
        <f t="shared" si="169"/>
        <v>13407.7431</v>
      </c>
      <c r="H944" s="106">
        <f t="shared" si="170"/>
        <v>13433.56645</v>
      </c>
      <c r="I944" s="107"/>
      <c r="J944" s="107"/>
      <c r="K944" s="107">
        <v>4278.5444</v>
      </c>
      <c r="L944" s="107">
        <v>617.92938</v>
      </c>
      <c r="M944" s="107"/>
      <c r="N944" s="107"/>
      <c r="O944" s="106"/>
      <c r="P944" s="106"/>
      <c r="Q944" s="106"/>
      <c r="R944" s="106"/>
      <c r="S944" s="106">
        <v>1229.60046</v>
      </c>
      <c r="T944" s="106">
        <v>614.80022</v>
      </c>
      <c r="U944" s="106"/>
      <c r="V944" s="106"/>
      <c r="W944" s="106"/>
      <c r="X944" s="106"/>
      <c r="Y944" s="107">
        <v>133.00128</v>
      </c>
      <c r="Z944" s="107">
        <v>630.894</v>
      </c>
      <c r="AA944" s="159">
        <f>2304.83226+268.80305</f>
        <v>2573.63531</v>
      </c>
      <c r="AB944" s="106">
        <f>889.94239+103.7903</f>
        <v>993.73269</v>
      </c>
      <c r="AC944" s="107"/>
      <c r="AD944" s="107"/>
      <c r="AE944" s="107"/>
      <c r="AF944" s="107"/>
      <c r="AG944" s="107"/>
      <c r="AH944" s="107"/>
      <c r="AI944" s="107"/>
      <c r="AJ944" s="108">
        <v>916.65332</v>
      </c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7"/>
      <c r="AV944" s="107"/>
      <c r="AW944" s="107"/>
      <c r="AX944" s="107"/>
      <c r="AY944" s="106"/>
      <c r="AZ944" s="107"/>
      <c r="BA944" s="107">
        <f>1449.15304+1760.37681</f>
        <v>3209.52985</v>
      </c>
      <c r="BB944" s="107"/>
      <c r="BC944" s="107">
        <v>5192.96165</v>
      </c>
      <c r="BD944" s="107">
        <v>5092.7657</v>
      </c>
      <c r="BE944" s="107"/>
      <c r="BF944" s="107"/>
      <c r="BG944" s="107"/>
      <c r="BH944" s="107"/>
      <c r="BI944" s="107"/>
      <c r="BJ944" s="107">
        <v>1357.26129</v>
      </c>
      <c r="BK944" s="107"/>
      <c r="BL944" s="107"/>
      <c r="BM944" s="107"/>
      <c r="BN944" s="107"/>
      <c r="BO944" s="107"/>
      <c r="BP944" s="107"/>
      <c r="BQ944" s="109"/>
      <c r="BR944" s="109"/>
      <c r="BS944" s="109"/>
      <c r="BT944" s="109"/>
      <c r="BU944" s="138"/>
    </row>
    <row r="945" spans="1:73" ht="31.5" customHeight="1" outlineLevel="2">
      <c r="A945" s="24" t="s">
        <v>1074</v>
      </c>
      <c r="B945" s="37" t="s">
        <v>170</v>
      </c>
      <c r="C945" s="78" t="s">
        <v>1496</v>
      </c>
      <c r="D945" s="225">
        <v>2459017323</v>
      </c>
      <c r="E945" s="203" t="s">
        <v>2726</v>
      </c>
      <c r="F945" s="108">
        <f t="shared" si="162"/>
        <v>17134.60331</v>
      </c>
      <c r="G945" s="106">
        <f t="shared" si="169"/>
        <v>3740.86776</v>
      </c>
      <c r="H945" s="106">
        <f t="shared" si="170"/>
        <v>13393.73555</v>
      </c>
      <c r="I945" s="107"/>
      <c r="J945" s="107"/>
      <c r="K945" s="107"/>
      <c r="L945" s="107"/>
      <c r="M945" s="107"/>
      <c r="N945" s="107"/>
      <c r="O945" s="106"/>
      <c r="P945" s="106"/>
      <c r="Q945" s="106"/>
      <c r="R945" s="106"/>
      <c r="S945" s="106"/>
      <c r="T945" s="106"/>
      <c r="U945" s="106"/>
      <c r="V945" s="106"/>
      <c r="W945" s="106">
        <v>1550.4074</v>
      </c>
      <c r="X945" s="106">
        <v>809.42122</v>
      </c>
      <c r="Y945" s="107">
        <v>16.83567</v>
      </c>
      <c r="Z945" s="107"/>
      <c r="AA945" s="159">
        <v>533.02597</v>
      </c>
      <c r="AB945" s="106">
        <v>396.14618</v>
      </c>
      <c r="AC945" s="107"/>
      <c r="AD945" s="107"/>
      <c r="AE945" s="107"/>
      <c r="AF945" s="107"/>
      <c r="AG945" s="107"/>
      <c r="AH945" s="107"/>
      <c r="AI945" s="107"/>
      <c r="AJ945" s="108">
        <v>113.45892</v>
      </c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7"/>
      <c r="AV945" s="107"/>
      <c r="AW945" s="107"/>
      <c r="AX945" s="107"/>
      <c r="AY945" s="106"/>
      <c r="AZ945" s="107"/>
      <c r="BA945" s="107">
        <v>10439.77469</v>
      </c>
      <c r="BB945" s="107"/>
      <c r="BC945" s="107">
        <v>1640.59872</v>
      </c>
      <c r="BD945" s="107">
        <v>1608.90954</v>
      </c>
      <c r="BE945" s="107"/>
      <c r="BF945" s="107"/>
      <c r="BG945" s="107"/>
      <c r="BH945" s="107"/>
      <c r="BI945" s="107"/>
      <c r="BJ945" s="107"/>
      <c r="BK945" s="107"/>
      <c r="BL945" s="107"/>
      <c r="BM945" s="107">
        <v>26.025</v>
      </c>
      <c r="BN945" s="107"/>
      <c r="BO945" s="107"/>
      <c r="BP945" s="107"/>
      <c r="BQ945" s="109"/>
      <c r="BR945" s="109"/>
      <c r="BS945" s="109"/>
      <c r="BT945" s="109"/>
      <c r="BU945" s="138"/>
    </row>
    <row r="946" spans="1:73" ht="35.25" customHeight="1" outlineLevel="2">
      <c r="A946" s="28" t="s">
        <v>1074</v>
      </c>
      <c r="B946" s="42" t="s">
        <v>1044</v>
      </c>
      <c r="C946" s="27" t="s">
        <v>1496</v>
      </c>
      <c r="D946" s="219" t="s">
        <v>156</v>
      </c>
      <c r="E946" s="203" t="s">
        <v>2727</v>
      </c>
      <c r="F946" s="108">
        <f t="shared" si="162"/>
        <v>4696.22704</v>
      </c>
      <c r="G946" s="106">
        <f t="shared" si="169"/>
        <v>2259.02741</v>
      </c>
      <c r="H946" s="106">
        <f t="shared" si="170"/>
        <v>2437.19963</v>
      </c>
      <c r="I946" s="113"/>
      <c r="J946" s="113"/>
      <c r="K946" s="113">
        <v>539.59239</v>
      </c>
      <c r="L946" s="113">
        <v>100.41347</v>
      </c>
      <c r="M946" s="113"/>
      <c r="N946" s="113"/>
      <c r="O946" s="114"/>
      <c r="P946" s="114"/>
      <c r="Q946" s="114"/>
      <c r="R946" s="114"/>
      <c r="S946" s="114"/>
      <c r="T946" s="114"/>
      <c r="U946" s="114"/>
      <c r="V946" s="114"/>
      <c r="W946" s="114">
        <v>538.75991</v>
      </c>
      <c r="X946" s="114">
        <v>281.27038</v>
      </c>
      <c r="Y946" s="113">
        <v>18.51924</v>
      </c>
      <c r="Z946" s="113">
        <v>87.846</v>
      </c>
      <c r="AA946" s="162">
        <v>257.2654</v>
      </c>
      <c r="AB946" s="114">
        <v>138.65116</v>
      </c>
      <c r="AC946" s="113"/>
      <c r="AD946" s="113"/>
      <c r="AE946" s="113"/>
      <c r="AF946" s="113"/>
      <c r="AG946" s="113"/>
      <c r="AH946" s="113"/>
      <c r="AI946" s="113"/>
      <c r="AJ946" s="108">
        <v>166.80176</v>
      </c>
      <c r="AK946" s="113"/>
      <c r="AL946" s="113"/>
      <c r="AM946" s="113"/>
      <c r="AN946" s="113"/>
      <c r="AO946" s="113"/>
      <c r="AP946" s="113"/>
      <c r="AQ946" s="113"/>
      <c r="AR946" s="113"/>
      <c r="AS946" s="113"/>
      <c r="AT946" s="113"/>
      <c r="AU946" s="113"/>
      <c r="AV946" s="113"/>
      <c r="AW946" s="113"/>
      <c r="AX946" s="113"/>
      <c r="AY946" s="114"/>
      <c r="AZ946" s="113"/>
      <c r="BA946" s="113">
        <v>774.83831</v>
      </c>
      <c r="BB946" s="113"/>
      <c r="BC946" s="113">
        <v>904.89047</v>
      </c>
      <c r="BD946" s="113">
        <v>887.37855</v>
      </c>
      <c r="BE946" s="113"/>
      <c r="BF946" s="113"/>
      <c r="BG946" s="113"/>
      <c r="BH946" s="113"/>
      <c r="BI946" s="113"/>
      <c r="BJ946" s="113"/>
      <c r="BK946" s="113"/>
      <c r="BL946" s="113"/>
      <c r="BM946" s="113"/>
      <c r="BN946" s="113"/>
      <c r="BO946" s="113"/>
      <c r="BP946" s="113"/>
      <c r="BQ946" s="115"/>
      <c r="BR946" s="115"/>
      <c r="BS946" s="115"/>
      <c r="BT946" s="115"/>
      <c r="BU946" s="139"/>
    </row>
    <row r="947" spans="1:73" ht="38.25" customHeight="1" outlineLevel="2">
      <c r="A947" s="35" t="s">
        <v>1074</v>
      </c>
      <c r="B947" s="37" t="s">
        <v>1773</v>
      </c>
      <c r="C947" s="20" t="s">
        <v>587</v>
      </c>
      <c r="D947" s="219" t="s">
        <v>1816</v>
      </c>
      <c r="E947" s="268" t="s">
        <v>2728</v>
      </c>
      <c r="F947" s="108">
        <f t="shared" si="162"/>
        <v>1426.5</v>
      </c>
      <c r="G947" s="106">
        <f t="shared" si="169"/>
        <v>1426.5</v>
      </c>
      <c r="H947" s="106">
        <f t="shared" si="170"/>
        <v>0</v>
      </c>
      <c r="I947" s="107"/>
      <c r="J947" s="107"/>
      <c r="K947" s="107"/>
      <c r="L947" s="107"/>
      <c r="M947" s="107"/>
      <c r="N947" s="107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7"/>
      <c r="Z947" s="107"/>
      <c r="AA947" s="159"/>
      <c r="AB947" s="106"/>
      <c r="AC947" s="107"/>
      <c r="AD947" s="107"/>
      <c r="AE947" s="107"/>
      <c r="AF947" s="107"/>
      <c r="AG947" s="107"/>
      <c r="AH947" s="107"/>
      <c r="AI947" s="107"/>
      <c r="AJ947" s="108">
        <v>0</v>
      </c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7"/>
      <c r="AV947" s="107"/>
      <c r="AW947" s="107"/>
      <c r="AX947" s="107"/>
      <c r="AY947" s="106"/>
      <c r="AZ947" s="107"/>
      <c r="BA947" s="107"/>
      <c r="BB947" s="107"/>
      <c r="BC947" s="107"/>
      <c r="BD947" s="107"/>
      <c r="BE947" s="107"/>
      <c r="BF947" s="107"/>
      <c r="BG947" s="107"/>
      <c r="BH947" s="107"/>
      <c r="BI947" s="107"/>
      <c r="BJ947" s="107"/>
      <c r="BK947" s="107"/>
      <c r="BL947" s="107"/>
      <c r="BM947" s="107"/>
      <c r="BN947" s="107"/>
      <c r="BO947" s="107"/>
      <c r="BP947" s="107"/>
      <c r="BQ947" s="109"/>
      <c r="BR947" s="109">
        <v>1426.5</v>
      </c>
      <c r="BS947" s="109"/>
      <c r="BT947" s="109"/>
      <c r="BU947" s="138"/>
    </row>
    <row r="948" spans="1:73" ht="38.25" customHeight="1" outlineLevel="2">
      <c r="A948" s="24" t="s">
        <v>1074</v>
      </c>
      <c r="B948" s="37" t="s">
        <v>1603</v>
      </c>
      <c r="C948" s="20" t="s">
        <v>587</v>
      </c>
      <c r="D948" s="218" t="s">
        <v>1691</v>
      </c>
      <c r="E948" s="220" t="s">
        <v>2729</v>
      </c>
      <c r="F948" s="108">
        <f t="shared" si="162"/>
        <v>922.0705800000001</v>
      </c>
      <c r="G948" s="106">
        <f t="shared" si="169"/>
        <v>0</v>
      </c>
      <c r="H948" s="106">
        <f t="shared" si="170"/>
        <v>922.0705800000001</v>
      </c>
      <c r="I948" s="107"/>
      <c r="J948" s="107"/>
      <c r="K948" s="107"/>
      <c r="L948" s="107"/>
      <c r="M948" s="107"/>
      <c r="N948" s="107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7"/>
      <c r="Z948" s="107"/>
      <c r="AA948" s="106"/>
      <c r="AB948" s="106"/>
      <c r="AC948" s="107"/>
      <c r="AD948" s="107"/>
      <c r="AE948" s="107"/>
      <c r="AF948" s="107"/>
      <c r="AG948" s="107"/>
      <c r="AH948" s="107"/>
      <c r="AI948" s="107"/>
      <c r="AJ948" s="108">
        <v>0</v>
      </c>
      <c r="AK948" s="107"/>
      <c r="AL948" s="107"/>
      <c r="AM948" s="107">
        <v>42.042</v>
      </c>
      <c r="AN948" s="107">
        <v>235</v>
      </c>
      <c r="AO948" s="107"/>
      <c r="AP948" s="107"/>
      <c r="AQ948" s="107"/>
      <c r="AR948" s="107"/>
      <c r="AS948" s="107"/>
      <c r="AT948" s="107"/>
      <c r="AU948" s="107"/>
      <c r="AV948" s="107"/>
      <c r="AW948" s="107"/>
      <c r="AX948" s="107"/>
      <c r="AY948" s="106">
        <v>112.54358</v>
      </c>
      <c r="AZ948" s="107">
        <v>532.485</v>
      </c>
      <c r="BA948" s="107"/>
      <c r="BB948" s="107"/>
      <c r="BC948" s="107"/>
      <c r="BD948" s="107"/>
      <c r="BE948" s="107"/>
      <c r="BF948" s="107"/>
      <c r="BG948" s="107"/>
      <c r="BH948" s="107"/>
      <c r="BI948" s="107"/>
      <c r="BJ948" s="107"/>
      <c r="BK948" s="107"/>
      <c r="BL948" s="107"/>
      <c r="BM948" s="107"/>
      <c r="BN948" s="107"/>
      <c r="BO948" s="107"/>
      <c r="BP948" s="107"/>
      <c r="BQ948" s="109"/>
      <c r="BR948" s="109"/>
      <c r="BS948" s="109"/>
      <c r="BT948" s="109"/>
      <c r="BU948" s="138"/>
    </row>
    <row r="949" spans="1:73" ht="38.25" customHeight="1" outlineLevel="2">
      <c r="A949" s="24" t="s">
        <v>1074</v>
      </c>
      <c r="B949" s="37" t="s">
        <v>173</v>
      </c>
      <c r="C949" s="20" t="s">
        <v>587</v>
      </c>
      <c r="D949" s="209" t="s">
        <v>1039</v>
      </c>
      <c r="E949" s="210" t="s">
        <v>2730</v>
      </c>
      <c r="F949" s="108">
        <f t="shared" si="162"/>
        <v>107.79768</v>
      </c>
      <c r="G949" s="106">
        <f t="shared" si="169"/>
        <v>54.42504</v>
      </c>
      <c r="H949" s="106">
        <f t="shared" si="170"/>
        <v>53.37264</v>
      </c>
      <c r="I949" s="107"/>
      <c r="J949" s="107"/>
      <c r="K949" s="107"/>
      <c r="L949" s="107"/>
      <c r="M949" s="107"/>
      <c r="N949" s="107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7"/>
      <c r="Z949" s="107"/>
      <c r="AA949" s="106"/>
      <c r="AB949" s="106"/>
      <c r="AC949" s="107"/>
      <c r="AD949" s="107"/>
      <c r="AE949" s="107"/>
      <c r="AF949" s="107"/>
      <c r="AG949" s="107"/>
      <c r="AH949" s="107"/>
      <c r="AI949" s="107"/>
      <c r="AJ949" s="108">
        <v>0</v>
      </c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7"/>
      <c r="AV949" s="107"/>
      <c r="AW949" s="107"/>
      <c r="AX949" s="107"/>
      <c r="AY949" s="106"/>
      <c r="AZ949" s="107"/>
      <c r="BA949" s="107"/>
      <c r="BB949" s="107"/>
      <c r="BC949" s="107">
        <v>54.42504</v>
      </c>
      <c r="BD949" s="107">
        <v>53.37264</v>
      </c>
      <c r="BE949" s="107"/>
      <c r="BF949" s="107"/>
      <c r="BG949" s="107"/>
      <c r="BH949" s="107"/>
      <c r="BI949" s="107"/>
      <c r="BJ949" s="107"/>
      <c r="BK949" s="107"/>
      <c r="BL949" s="107"/>
      <c r="BM949" s="107"/>
      <c r="BN949" s="107"/>
      <c r="BO949" s="107"/>
      <c r="BP949" s="107"/>
      <c r="BQ949" s="109"/>
      <c r="BR949" s="109"/>
      <c r="BS949" s="109"/>
      <c r="BT949" s="109"/>
      <c r="BU949" s="138"/>
    </row>
    <row r="950" spans="1:73" ht="38.25" customHeight="1" outlineLevel="2">
      <c r="A950" s="24" t="s">
        <v>1074</v>
      </c>
      <c r="B950" s="37" t="s">
        <v>1774</v>
      </c>
      <c r="C950" s="20" t="s">
        <v>587</v>
      </c>
      <c r="D950" s="218" t="s">
        <v>1557</v>
      </c>
      <c r="E950" s="220" t="s">
        <v>2731</v>
      </c>
      <c r="F950" s="108">
        <f t="shared" si="162"/>
        <v>1470.0325</v>
      </c>
      <c r="G950" s="106">
        <f t="shared" si="169"/>
        <v>1434.42182</v>
      </c>
      <c r="H950" s="106">
        <f t="shared" si="170"/>
        <v>35.61068</v>
      </c>
      <c r="I950" s="107"/>
      <c r="J950" s="107"/>
      <c r="K950" s="107"/>
      <c r="L950" s="107"/>
      <c r="M950" s="107"/>
      <c r="N950" s="107"/>
      <c r="O950" s="106">
        <v>60.82493</v>
      </c>
      <c r="P950" s="106">
        <v>2.84105</v>
      </c>
      <c r="Q950" s="106"/>
      <c r="R950" s="106"/>
      <c r="S950" s="106"/>
      <c r="T950" s="106"/>
      <c r="U950" s="106"/>
      <c r="V950" s="106"/>
      <c r="W950" s="106"/>
      <c r="X950" s="106"/>
      <c r="Y950" s="107"/>
      <c r="Z950" s="107"/>
      <c r="AA950" s="106"/>
      <c r="AB950" s="106"/>
      <c r="AC950" s="107"/>
      <c r="AD950" s="107"/>
      <c r="AE950" s="107"/>
      <c r="AF950" s="107"/>
      <c r="AG950" s="107"/>
      <c r="AH950" s="107"/>
      <c r="AI950" s="107"/>
      <c r="AJ950" s="108">
        <v>0</v>
      </c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7"/>
      <c r="AV950" s="107"/>
      <c r="AW950" s="107"/>
      <c r="AX950" s="107">
        <v>23.59689</v>
      </c>
      <c r="AY950" s="106">
        <v>6.84963</v>
      </c>
      <c r="AZ950" s="107">
        <v>25.92</v>
      </c>
      <c r="BA950" s="107"/>
      <c r="BB950" s="107"/>
      <c r="BC950" s="107"/>
      <c r="BD950" s="107"/>
      <c r="BE950" s="107"/>
      <c r="BF950" s="107"/>
      <c r="BG950" s="107"/>
      <c r="BH950" s="107"/>
      <c r="BI950" s="107"/>
      <c r="BJ950" s="107"/>
      <c r="BK950" s="107"/>
      <c r="BL950" s="107"/>
      <c r="BM950" s="107"/>
      <c r="BN950" s="107"/>
      <c r="BO950" s="107"/>
      <c r="BP950" s="107"/>
      <c r="BQ950" s="109"/>
      <c r="BR950" s="109">
        <v>1350</v>
      </c>
      <c r="BS950" s="109"/>
      <c r="BT950" s="109"/>
      <c r="BU950" s="138"/>
    </row>
    <row r="951" spans="1:73" ht="38.25" customHeight="1" outlineLevel="2">
      <c r="A951" s="24" t="s">
        <v>1074</v>
      </c>
      <c r="B951" s="37" t="s">
        <v>175</v>
      </c>
      <c r="C951" s="20" t="s">
        <v>710</v>
      </c>
      <c r="D951" s="218" t="s">
        <v>70</v>
      </c>
      <c r="E951" s="220" t="s">
        <v>2732</v>
      </c>
      <c r="F951" s="108">
        <f t="shared" si="162"/>
        <v>123.85154</v>
      </c>
      <c r="G951" s="106">
        <f t="shared" si="169"/>
        <v>73.55955</v>
      </c>
      <c r="H951" s="106">
        <f t="shared" si="170"/>
        <v>50.29199</v>
      </c>
      <c r="I951" s="107"/>
      <c r="J951" s="107"/>
      <c r="K951" s="107">
        <v>26.8934</v>
      </c>
      <c r="L951" s="107">
        <v>8.65717</v>
      </c>
      <c r="M951" s="107"/>
      <c r="N951" s="107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7"/>
      <c r="Z951" s="107"/>
      <c r="AA951" s="106"/>
      <c r="AB951" s="106"/>
      <c r="AC951" s="107"/>
      <c r="AD951" s="107"/>
      <c r="AE951" s="107"/>
      <c r="AF951" s="107"/>
      <c r="AG951" s="107"/>
      <c r="AH951" s="107"/>
      <c r="AI951" s="107"/>
      <c r="AJ951" s="108">
        <v>0</v>
      </c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7"/>
      <c r="AV951" s="107"/>
      <c r="AW951" s="107"/>
      <c r="AX951" s="107">
        <v>31.32854</v>
      </c>
      <c r="AY951" s="106">
        <v>26.59368</v>
      </c>
      <c r="AZ951" s="107"/>
      <c r="BA951" s="107"/>
      <c r="BB951" s="107"/>
      <c r="BC951" s="107">
        <v>15.33761</v>
      </c>
      <c r="BD951" s="107">
        <v>15.04114</v>
      </c>
      <c r="BE951" s="107"/>
      <c r="BF951" s="107"/>
      <c r="BG951" s="107"/>
      <c r="BH951" s="107"/>
      <c r="BI951" s="107"/>
      <c r="BJ951" s="107"/>
      <c r="BK951" s="107"/>
      <c r="BL951" s="107"/>
      <c r="BM951" s="107"/>
      <c r="BN951" s="107"/>
      <c r="BO951" s="107"/>
      <c r="BP951" s="107"/>
      <c r="BQ951" s="109"/>
      <c r="BR951" s="109"/>
      <c r="BS951" s="109"/>
      <c r="BT951" s="109"/>
      <c r="BU951" s="138"/>
    </row>
    <row r="952" spans="1:73" ht="38.25" customHeight="1" outlineLevel="2">
      <c r="A952" s="24" t="s">
        <v>1074</v>
      </c>
      <c r="B952" s="37" t="s">
        <v>1640</v>
      </c>
      <c r="C952" s="20" t="s">
        <v>710</v>
      </c>
      <c r="D952" s="218" t="s">
        <v>1556</v>
      </c>
      <c r="E952" s="220" t="s">
        <v>2733</v>
      </c>
      <c r="F952" s="108">
        <f t="shared" si="162"/>
        <v>92.54534000000001</v>
      </c>
      <c r="G952" s="106">
        <f t="shared" si="169"/>
        <v>46.72473</v>
      </c>
      <c r="H952" s="106">
        <f t="shared" si="170"/>
        <v>45.82061</v>
      </c>
      <c r="I952" s="107"/>
      <c r="J952" s="107"/>
      <c r="K952" s="107"/>
      <c r="L952" s="107"/>
      <c r="M952" s="107"/>
      <c r="N952" s="107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7"/>
      <c r="Z952" s="107"/>
      <c r="AA952" s="106"/>
      <c r="AB952" s="106"/>
      <c r="AC952" s="107"/>
      <c r="AD952" s="107"/>
      <c r="AE952" s="107"/>
      <c r="AF952" s="107"/>
      <c r="AG952" s="107"/>
      <c r="AH952" s="107"/>
      <c r="AI952" s="107"/>
      <c r="AJ952" s="108">
        <v>0</v>
      </c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7"/>
      <c r="AV952" s="107"/>
      <c r="AW952" s="107"/>
      <c r="AX952" s="107"/>
      <c r="AY952" s="106"/>
      <c r="AZ952" s="107"/>
      <c r="BA952" s="107"/>
      <c r="BB952" s="107"/>
      <c r="BC952" s="107">
        <v>46.72473</v>
      </c>
      <c r="BD952" s="107">
        <v>45.82061</v>
      </c>
      <c r="BE952" s="107"/>
      <c r="BF952" s="107"/>
      <c r="BG952" s="107"/>
      <c r="BH952" s="107"/>
      <c r="BI952" s="107"/>
      <c r="BJ952" s="107"/>
      <c r="BK952" s="107"/>
      <c r="BL952" s="107"/>
      <c r="BM952" s="107"/>
      <c r="BN952" s="107"/>
      <c r="BO952" s="107"/>
      <c r="BP952" s="107"/>
      <c r="BQ952" s="109"/>
      <c r="BR952" s="109"/>
      <c r="BS952" s="109"/>
      <c r="BT952" s="109"/>
      <c r="BU952" s="138"/>
    </row>
    <row r="953" spans="1:73" ht="38.25" customHeight="1" outlineLevel="2">
      <c r="A953" s="24" t="s">
        <v>1074</v>
      </c>
      <c r="B953" s="37" t="s">
        <v>171</v>
      </c>
      <c r="C953" s="20" t="s">
        <v>710</v>
      </c>
      <c r="D953" s="218" t="s">
        <v>248</v>
      </c>
      <c r="E953" s="220" t="s">
        <v>2734</v>
      </c>
      <c r="F953" s="108">
        <f t="shared" si="162"/>
        <v>4823.37392</v>
      </c>
      <c r="G953" s="106">
        <f t="shared" si="169"/>
        <v>1387.4259500000003</v>
      </c>
      <c r="H953" s="106">
        <f t="shared" si="170"/>
        <v>3435.94797</v>
      </c>
      <c r="I953" s="107"/>
      <c r="J953" s="107"/>
      <c r="K953" s="107">
        <v>274.10709</v>
      </c>
      <c r="L953" s="107">
        <v>31.36775</v>
      </c>
      <c r="M953" s="107"/>
      <c r="N953" s="107"/>
      <c r="O953" s="106"/>
      <c r="P953" s="106"/>
      <c r="Q953" s="106"/>
      <c r="R953" s="106"/>
      <c r="S953" s="106">
        <v>60.17684</v>
      </c>
      <c r="T953" s="106">
        <v>30.08843</v>
      </c>
      <c r="U953" s="106"/>
      <c r="V953" s="106"/>
      <c r="W953" s="106"/>
      <c r="X953" s="106"/>
      <c r="Y953" s="107">
        <v>12.62675</v>
      </c>
      <c r="Z953" s="107">
        <v>59.895</v>
      </c>
      <c r="AA953" s="159">
        <v>218.59224</v>
      </c>
      <c r="AB953" s="106">
        <v>110.92093</v>
      </c>
      <c r="AC953" s="107"/>
      <c r="AD953" s="107"/>
      <c r="AE953" s="107"/>
      <c r="AF953" s="107"/>
      <c r="AG953" s="107"/>
      <c r="AH953" s="107"/>
      <c r="AI953" s="107"/>
      <c r="AJ953" s="108">
        <v>195.93828000000002</v>
      </c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7"/>
      <c r="AV953" s="107"/>
      <c r="AW953" s="107"/>
      <c r="AX953" s="107"/>
      <c r="AY953" s="106">
        <v>33.79779</v>
      </c>
      <c r="AZ953" s="107">
        <v>1147.221</v>
      </c>
      <c r="BA953" s="107"/>
      <c r="BB953" s="107"/>
      <c r="BC953" s="107">
        <v>821.92303</v>
      </c>
      <c r="BD953" s="107">
        <v>806.06388</v>
      </c>
      <c r="BE953" s="107">
        <v>101.38052</v>
      </c>
      <c r="BF953" s="107"/>
      <c r="BG953" s="107"/>
      <c r="BH953" s="107"/>
      <c r="BI953" s="107"/>
      <c r="BJ953" s="107">
        <v>772.34828</v>
      </c>
      <c r="BK953" s="107"/>
      <c r="BL953" s="107"/>
      <c r="BM953" s="107">
        <v>146.92611</v>
      </c>
      <c r="BN953" s="107"/>
      <c r="BO953" s="107"/>
      <c r="BP953" s="107"/>
      <c r="BQ953" s="109"/>
      <c r="BR953" s="109"/>
      <c r="BS953" s="109"/>
      <c r="BT953" s="109"/>
      <c r="BU953" s="138"/>
    </row>
    <row r="954" spans="1:73" ht="38.25" customHeight="1" outlineLevel="2">
      <c r="A954" s="24" t="s">
        <v>1074</v>
      </c>
      <c r="B954" s="37" t="s">
        <v>172</v>
      </c>
      <c r="C954" s="20" t="s">
        <v>710</v>
      </c>
      <c r="D954" s="218" t="s">
        <v>811</v>
      </c>
      <c r="E954" s="220" t="s">
        <v>2735</v>
      </c>
      <c r="F954" s="108">
        <f t="shared" si="162"/>
        <v>2911.75363</v>
      </c>
      <c r="G954" s="106">
        <f t="shared" si="169"/>
        <v>1248.45566</v>
      </c>
      <c r="H954" s="106">
        <f t="shared" si="170"/>
        <v>1663.29797</v>
      </c>
      <c r="I954" s="107"/>
      <c r="J954" s="107"/>
      <c r="K954" s="107">
        <v>291.10963</v>
      </c>
      <c r="L954" s="107">
        <v>83.2481</v>
      </c>
      <c r="M954" s="107"/>
      <c r="N954" s="107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7"/>
      <c r="Z954" s="107"/>
      <c r="AA954" s="159">
        <v>314.33847</v>
      </c>
      <c r="AB954" s="106">
        <v>158.45847</v>
      </c>
      <c r="AC954" s="107"/>
      <c r="AD954" s="107"/>
      <c r="AE954" s="107"/>
      <c r="AF954" s="107"/>
      <c r="AG954" s="107"/>
      <c r="AH954" s="107"/>
      <c r="AI954" s="107"/>
      <c r="AJ954" s="108">
        <v>0</v>
      </c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7"/>
      <c r="AV954" s="107"/>
      <c r="AW954" s="107"/>
      <c r="AX954" s="107"/>
      <c r="AY954" s="106"/>
      <c r="AZ954" s="107"/>
      <c r="BA954" s="107"/>
      <c r="BB954" s="107"/>
      <c r="BC954" s="107">
        <v>643.00756</v>
      </c>
      <c r="BD954" s="107">
        <v>630.5914</v>
      </c>
      <c r="BE954" s="107">
        <v>791</v>
      </c>
      <c r="BF954" s="107"/>
      <c r="BG954" s="107"/>
      <c r="BH954" s="107"/>
      <c r="BI954" s="107"/>
      <c r="BJ954" s="107"/>
      <c r="BK954" s="107"/>
      <c r="BL954" s="107"/>
      <c r="BM954" s="107"/>
      <c r="BN954" s="107"/>
      <c r="BO954" s="107"/>
      <c r="BP954" s="107"/>
      <c r="BQ954" s="109"/>
      <c r="BR954" s="109"/>
      <c r="BS954" s="109"/>
      <c r="BT954" s="109"/>
      <c r="BU954" s="138"/>
    </row>
    <row r="955" spans="1:73" ht="38.25" customHeight="1" outlineLevel="2">
      <c r="A955" s="24" t="s">
        <v>1074</v>
      </c>
      <c r="B955" s="37" t="s">
        <v>174</v>
      </c>
      <c r="C955" s="20" t="s">
        <v>710</v>
      </c>
      <c r="D955" s="218" t="s">
        <v>644</v>
      </c>
      <c r="E955" s="220" t="s">
        <v>2736</v>
      </c>
      <c r="F955" s="108">
        <f t="shared" si="162"/>
        <v>2617.8233</v>
      </c>
      <c r="G955" s="106">
        <f t="shared" si="169"/>
        <v>354.04434000000003</v>
      </c>
      <c r="H955" s="106">
        <f t="shared" si="170"/>
        <v>2263.77896</v>
      </c>
      <c r="I955" s="107"/>
      <c r="J955" s="107"/>
      <c r="K955" s="124">
        <v>87.72394</v>
      </c>
      <c r="L955" s="107">
        <v>23.52842</v>
      </c>
      <c r="M955" s="107"/>
      <c r="N955" s="107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7"/>
      <c r="Z955" s="107"/>
      <c r="AA955" s="106"/>
      <c r="AB955" s="106"/>
      <c r="AC955" s="107"/>
      <c r="AD955" s="107"/>
      <c r="AE955" s="107"/>
      <c r="AF955" s="107"/>
      <c r="AG955" s="107"/>
      <c r="AH955" s="107"/>
      <c r="AI955" s="107"/>
      <c r="AJ955" s="108">
        <v>0</v>
      </c>
      <c r="AK955" s="107"/>
      <c r="AL955" s="107"/>
      <c r="AM955" s="107"/>
      <c r="AN955" s="107">
        <v>1884.896</v>
      </c>
      <c r="AO955" s="107"/>
      <c r="AP955" s="107"/>
      <c r="AQ955" s="107"/>
      <c r="AR955" s="107"/>
      <c r="AS955" s="107"/>
      <c r="AT955" s="107"/>
      <c r="AU955" s="107"/>
      <c r="AV955" s="107"/>
      <c r="AW955" s="107"/>
      <c r="AX955" s="107"/>
      <c r="AY955" s="106">
        <v>94.17423</v>
      </c>
      <c r="AZ955" s="107"/>
      <c r="BA955" s="107"/>
      <c r="BB955" s="107"/>
      <c r="BC955" s="107">
        <v>266.3204</v>
      </c>
      <c r="BD955" s="107">
        <v>261.18031</v>
      </c>
      <c r="BE955" s="107"/>
      <c r="BF955" s="107"/>
      <c r="BG955" s="107"/>
      <c r="BH955" s="107"/>
      <c r="BI955" s="107"/>
      <c r="BJ955" s="107"/>
      <c r="BK955" s="107"/>
      <c r="BL955" s="107"/>
      <c r="BM955" s="107"/>
      <c r="BN955" s="107"/>
      <c r="BO955" s="107"/>
      <c r="BP955" s="107"/>
      <c r="BQ955" s="109"/>
      <c r="BR955" s="109"/>
      <c r="BS955" s="109"/>
      <c r="BT955" s="109"/>
      <c r="BU955" s="138"/>
    </row>
    <row r="956" spans="1:73" ht="36.75" customHeight="1" outlineLevel="2">
      <c r="A956" s="24" t="s">
        <v>1074</v>
      </c>
      <c r="B956" s="19" t="s">
        <v>484</v>
      </c>
      <c r="C956" s="20" t="s">
        <v>934</v>
      </c>
      <c r="D956" s="218" t="s">
        <v>11</v>
      </c>
      <c r="E956" s="203" t="s">
        <v>2738</v>
      </c>
      <c r="F956" s="108">
        <f t="shared" si="162"/>
        <v>357.05701</v>
      </c>
      <c r="G956" s="106">
        <f t="shared" si="169"/>
        <v>0</v>
      </c>
      <c r="H956" s="106">
        <f t="shared" si="170"/>
        <v>357.05701</v>
      </c>
      <c r="I956" s="107"/>
      <c r="J956" s="107"/>
      <c r="K956" s="107"/>
      <c r="L956" s="107"/>
      <c r="M956" s="107"/>
      <c r="N956" s="107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7"/>
      <c r="Z956" s="107"/>
      <c r="AA956" s="106"/>
      <c r="AB956" s="106"/>
      <c r="AC956" s="107"/>
      <c r="AD956" s="107"/>
      <c r="AE956" s="107"/>
      <c r="AF956" s="107"/>
      <c r="AG956" s="107"/>
      <c r="AH956" s="107"/>
      <c r="AI956" s="107"/>
      <c r="AJ956" s="108">
        <v>0</v>
      </c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7"/>
      <c r="AV956" s="107"/>
      <c r="AW956" s="107"/>
      <c r="AX956" s="107"/>
      <c r="AY956" s="106"/>
      <c r="AZ956" s="107"/>
      <c r="BA956" s="107"/>
      <c r="BB956" s="107"/>
      <c r="BC956" s="107"/>
      <c r="BD956" s="107"/>
      <c r="BE956" s="107"/>
      <c r="BF956" s="107"/>
      <c r="BG956" s="107"/>
      <c r="BH956" s="107"/>
      <c r="BI956" s="107"/>
      <c r="BJ956" s="107"/>
      <c r="BK956" s="107"/>
      <c r="BL956" s="107"/>
      <c r="BM956" s="107"/>
      <c r="BN956" s="107">
        <v>357.05701</v>
      </c>
      <c r="BO956" s="107"/>
      <c r="BP956" s="107"/>
      <c r="BQ956" s="109"/>
      <c r="BR956" s="109"/>
      <c r="BS956" s="109"/>
      <c r="BT956" s="109"/>
      <c r="BU956" s="138"/>
    </row>
    <row r="957" spans="1:73" ht="42.75" customHeight="1" outlineLevel="2">
      <c r="A957" s="24" t="s">
        <v>1074</v>
      </c>
      <c r="B957" s="19" t="s">
        <v>1374</v>
      </c>
      <c r="C957" s="20" t="s">
        <v>934</v>
      </c>
      <c r="D957" s="218" t="s">
        <v>1173</v>
      </c>
      <c r="E957" s="203" t="s">
        <v>2739</v>
      </c>
      <c r="F957" s="108">
        <f t="shared" si="162"/>
        <v>1169.63843</v>
      </c>
      <c r="G957" s="106">
        <f t="shared" si="169"/>
        <v>0</v>
      </c>
      <c r="H957" s="106">
        <f t="shared" si="170"/>
        <v>1169.63843</v>
      </c>
      <c r="I957" s="107"/>
      <c r="J957" s="107"/>
      <c r="K957" s="107"/>
      <c r="L957" s="107"/>
      <c r="M957" s="107"/>
      <c r="N957" s="107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7"/>
      <c r="Z957" s="107"/>
      <c r="AA957" s="106"/>
      <c r="AB957" s="106"/>
      <c r="AC957" s="107"/>
      <c r="AD957" s="107"/>
      <c r="AE957" s="107"/>
      <c r="AF957" s="107"/>
      <c r="AG957" s="107"/>
      <c r="AH957" s="107"/>
      <c r="AI957" s="107"/>
      <c r="AJ957" s="108">
        <v>0</v>
      </c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7"/>
      <c r="AV957" s="107"/>
      <c r="AW957" s="107"/>
      <c r="AX957" s="107"/>
      <c r="AY957" s="106"/>
      <c r="AZ957" s="107"/>
      <c r="BA957" s="107"/>
      <c r="BB957" s="107"/>
      <c r="BC957" s="107"/>
      <c r="BD957" s="107"/>
      <c r="BE957" s="107"/>
      <c r="BF957" s="107"/>
      <c r="BG957" s="107"/>
      <c r="BH957" s="107"/>
      <c r="BI957" s="107"/>
      <c r="BJ957" s="107"/>
      <c r="BK957" s="107"/>
      <c r="BL957" s="107"/>
      <c r="BM957" s="107"/>
      <c r="BN957" s="107">
        <v>1169.63843</v>
      </c>
      <c r="BO957" s="107"/>
      <c r="BP957" s="107"/>
      <c r="BQ957" s="109"/>
      <c r="BR957" s="109"/>
      <c r="BS957" s="109"/>
      <c r="BT957" s="109"/>
      <c r="BU957" s="138"/>
    </row>
    <row r="958" spans="1:73" ht="32.25" customHeight="1" outlineLevel="2">
      <c r="A958" s="24" t="s">
        <v>1074</v>
      </c>
      <c r="B958" s="19" t="s">
        <v>1373</v>
      </c>
      <c r="C958" s="20" t="s">
        <v>934</v>
      </c>
      <c r="D958" s="218" t="s">
        <v>1172</v>
      </c>
      <c r="E958" s="203" t="s">
        <v>2740</v>
      </c>
      <c r="F958" s="108">
        <f t="shared" si="162"/>
        <v>1033.19899</v>
      </c>
      <c r="G958" s="106">
        <f t="shared" si="169"/>
        <v>0</v>
      </c>
      <c r="H958" s="106">
        <f t="shared" si="170"/>
        <v>1033.19899</v>
      </c>
      <c r="I958" s="107"/>
      <c r="J958" s="107"/>
      <c r="K958" s="107"/>
      <c r="L958" s="107"/>
      <c r="M958" s="107"/>
      <c r="N958" s="107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7"/>
      <c r="Z958" s="107"/>
      <c r="AA958" s="106"/>
      <c r="AB958" s="106"/>
      <c r="AC958" s="107"/>
      <c r="AD958" s="107"/>
      <c r="AE958" s="107"/>
      <c r="AF958" s="107"/>
      <c r="AG958" s="107"/>
      <c r="AH958" s="107"/>
      <c r="AI958" s="107"/>
      <c r="AJ958" s="108">
        <v>0</v>
      </c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7"/>
      <c r="AV958" s="107"/>
      <c r="AW958" s="107"/>
      <c r="AX958" s="107"/>
      <c r="AY958" s="106"/>
      <c r="AZ958" s="107"/>
      <c r="BA958" s="107"/>
      <c r="BB958" s="107"/>
      <c r="BC958" s="107"/>
      <c r="BD958" s="107"/>
      <c r="BE958" s="107"/>
      <c r="BF958" s="107"/>
      <c r="BG958" s="107"/>
      <c r="BH958" s="107"/>
      <c r="BI958" s="107"/>
      <c r="BJ958" s="107"/>
      <c r="BK958" s="107"/>
      <c r="BL958" s="107"/>
      <c r="BM958" s="107"/>
      <c r="BN958" s="107">
        <v>1033.19899</v>
      </c>
      <c r="BO958" s="107"/>
      <c r="BP958" s="107"/>
      <c r="BQ958" s="109"/>
      <c r="BR958" s="109"/>
      <c r="BS958" s="109"/>
      <c r="BT958" s="109"/>
      <c r="BU958" s="138"/>
    </row>
    <row r="959" spans="1:73" ht="42" customHeight="1" outlineLevel="2">
      <c r="A959" s="35" t="s">
        <v>1074</v>
      </c>
      <c r="B959" s="37" t="s">
        <v>1421</v>
      </c>
      <c r="C959" s="20" t="s">
        <v>934</v>
      </c>
      <c r="D959" s="218" t="s">
        <v>166</v>
      </c>
      <c r="E959" s="203" t="s">
        <v>2741</v>
      </c>
      <c r="F959" s="108">
        <f t="shared" si="162"/>
        <v>1468.13728</v>
      </c>
      <c r="G959" s="106">
        <f t="shared" si="169"/>
        <v>0</v>
      </c>
      <c r="H959" s="106">
        <f t="shared" si="170"/>
        <v>1468.13728</v>
      </c>
      <c r="I959" s="107"/>
      <c r="J959" s="107"/>
      <c r="K959" s="107"/>
      <c r="L959" s="107"/>
      <c r="M959" s="107">
        <v>1468.13728</v>
      </c>
      <c r="N959" s="107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7"/>
      <c r="Z959" s="107"/>
      <c r="AA959" s="106"/>
      <c r="AB959" s="106"/>
      <c r="AC959" s="107"/>
      <c r="AD959" s="107"/>
      <c r="AE959" s="107"/>
      <c r="AF959" s="107"/>
      <c r="AG959" s="107"/>
      <c r="AH959" s="107"/>
      <c r="AI959" s="107"/>
      <c r="AJ959" s="108">
        <v>0</v>
      </c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7"/>
      <c r="AV959" s="107"/>
      <c r="AW959" s="107"/>
      <c r="AX959" s="107"/>
      <c r="AY959" s="106"/>
      <c r="AZ959" s="107"/>
      <c r="BA959" s="107"/>
      <c r="BB959" s="107"/>
      <c r="BC959" s="107"/>
      <c r="BD959" s="107"/>
      <c r="BE959" s="107"/>
      <c r="BF959" s="107"/>
      <c r="BG959" s="107"/>
      <c r="BH959" s="107"/>
      <c r="BI959" s="107"/>
      <c r="BJ959" s="107"/>
      <c r="BK959" s="107"/>
      <c r="BL959" s="107"/>
      <c r="BM959" s="107"/>
      <c r="BN959" s="107"/>
      <c r="BO959" s="107"/>
      <c r="BP959" s="107"/>
      <c r="BQ959" s="109"/>
      <c r="BR959" s="109"/>
      <c r="BS959" s="109"/>
      <c r="BT959" s="109"/>
      <c r="BU959" s="138"/>
    </row>
    <row r="960" spans="1:73" ht="54.75" customHeight="1" outlineLevel="2" thickBot="1">
      <c r="A960" s="24" t="s">
        <v>1074</v>
      </c>
      <c r="B960" s="37" t="s">
        <v>1065</v>
      </c>
      <c r="C960" s="20" t="s">
        <v>1338</v>
      </c>
      <c r="D960" s="218">
        <v>2459013907</v>
      </c>
      <c r="E960" s="203" t="s">
        <v>2737</v>
      </c>
      <c r="F960" s="108">
        <f t="shared" si="162"/>
        <v>165.66117</v>
      </c>
      <c r="G960" s="106">
        <f t="shared" si="169"/>
        <v>0</v>
      </c>
      <c r="H960" s="106">
        <f t="shared" si="170"/>
        <v>165.66117</v>
      </c>
      <c r="I960" s="107"/>
      <c r="J960" s="107"/>
      <c r="K960" s="107"/>
      <c r="L960" s="107"/>
      <c r="M960" s="107">
        <v>14.41102</v>
      </c>
      <c r="N960" s="107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7"/>
      <c r="Z960" s="107"/>
      <c r="AA960" s="106"/>
      <c r="AB960" s="106"/>
      <c r="AC960" s="107"/>
      <c r="AD960" s="107"/>
      <c r="AE960" s="107"/>
      <c r="AF960" s="107"/>
      <c r="AG960" s="107"/>
      <c r="AH960" s="107"/>
      <c r="AI960" s="107"/>
      <c r="AJ960" s="108">
        <v>0</v>
      </c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7"/>
      <c r="AV960" s="107"/>
      <c r="AW960" s="107"/>
      <c r="AX960" s="107"/>
      <c r="AY960" s="106"/>
      <c r="AZ960" s="107"/>
      <c r="BA960" s="107"/>
      <c r="BB960" s="107"/>
      <c r="BC960" s="107"/>
      <c r="BD960" s="107"/>
      <c r="BE960" s="107"/>
      <c r="BF960" s="107"/>
      <c r="BG960" s="107"/>
      <c r="BH960" s="107"/>
      <c r="BI960" s="107"/>
      <c r="BJ960" s="107">
        <v>151.25015</v>
      </c>
      <c r="BK960" s="107"/>
      <c r="BL960" s="107"/>
      <c r="BM960" s="107"/>
      <c r="BN960" s="107"/>
      <c r="BO960" s="107"/>
      <c r="BP960" s="107"/>
      <c r="BQ960" s="109"/>
      <c r="BR960" s="109"/>
      <c r="BS960" s="109"/>
      <c r="BT960" s="109"/>
      <c r="BU960" s="138"/>
    </row>
    <row r="961" spans="1:73" s="32" customFormat="1" ht="19.5" customHeight="1" outlineLevel="1" thickBot="1">
      <c r="A961" s="43" t="s">
        <v>1174</v>
      </c>
      <c r="B961" s="44"/>
      <c r="C961" s="30" t="s">
        <v>1572</v>
      </c>
      <c r="D961" s="222"/>
      <c r="E961" s="223"/>
      <c r="F961" s="117">
        <f aca="true" t="shared" si="171" ref="F961:AV961">SUBTOTAL(9,F941:F960)</f>
        <v>160420.47318</v>
      </c>
      <c r="G961" s="117">
        <f t="shared" si="171"/>
        <v>63612.08602000001</v>
      </c>
      <c r="H961" s="117">
        <f t="shared" si="171"/>
        <v>96808.38716</v>
      </c>
      <c r="I961" s="117">
        <f t="shared" si="171"/>
        <v>1241.32157</v>
      </c>
      <c r="J961" s="117">
        <f t="shared" si="171"/>
        <v>261.82679</v>
      </c>
      <c r="K961" s="117">
        <f t="shared" si="171"/>
        <v>13517.90741</v>
      </c>
      <c r="L961" s="117">
        <f t="shared" si="171"/>
        <v>2443.10985</v>
      </c>
      <c r="M961" s="117">
        <f t="shared" si="171"/>
        <v>1968.25841</v>
      </c>
      <c r="N961" s="117">
        <f t="shared" si="171"/>
        <v>0</v>
      </c>
      <c r="O961" s="117">
        <f t="shared" si="171"/>
        <v>60.82493</v>
      </c>
      <c r="P961" s="117">
        <f t="shared" si="171"/>
        <v>2.84105</v>
      </c>
      <c r="Q961" s="117">
        <f t="shared" si="171"/>
        <v>1687.50421</v>
      </c>
      <c r="R961" s="117">
        <f t="shared" si="171"/>
        <v>0</v>
      </c>
      <c r="S961" s="117">
        <f t="shared" si="171"/>
        <v>1623.6448600000003</v>
      </c>
      <c r="T961" s="117">
        <f t="shared" si="171"/>
        <v>811.82241</v>
      </c>
      <c r="U961" s="117">
        <f t="shared" si="171"/>
        <v>0</v>
      </c>
      <c r="V961" s="117">
        <f t="shared" si="171"/>
        <v>0</v>
      </c>
      <c r="W961" s="117">
        <f t="shared" si="171"/>
        <v>9633.843060000001</v>
      </c>
      <c r="X961" s="117">
        <f t="shared" si="171"/>
        <v>5029.5405900000005</v>
      </c>
      <c r="Y961" s="117">
        <f t="shared" si="171"/>
        <v>180.98293999999999</v>
      </c>
      <c r="Z961" s="117">
        <f t="shared" si="171"/>
        <v>778.635</v>
      </c>
      <c r="AA961" s="117">
        <f t="shared" si="171"/>
        <v>8383.69177</v>
      </c>
      <c r="AB961" s="117">
        <f t="shared" si="171"/>
        <v>4342.95057</v>
      </c>
      <c r="AC961" s="117">
        <f t="shared" si="171"/>
        <v>1035.19061</v>
      </c>
      <c r="AD961" s="117">
        <f t="shared" si="171"/>
        <v>540.44198</v>
      </c>
      <c r="AE961" s="117">
        <f t="shared" si="171"/>
        <v>0</v>
      </c>
      <c r="AF961" s="117">
        <f t="shared" si="171"/>
        <v>0</v>
      </c>
      <c r="AG961" s="117">
        <f t="shared" si="171"/>
        <v>0</v>
      </c>
      <c r="AH961" s="117">
        <f t="shared" si="171"/>
        <v>0</v>
      </c>
      <c r="AI961" s="117">
        <f t="shared" si="171"/>
        <v>0</v>
      </c>
      <c r="AJ961" s="117">
        <f>SUBTOTAL(9,AJ941:AJ960)</f>
        <v>2361.24448</v>
      </c>
      <c r="AK961" s="117">
        <f t="shared" si="171"/>
        <v>103.839</v>
      </c>
      <c r="AL961" s="117">
        <f t="shared" si="171"/>
        <v>0</v>
      </c>
      <c r="AM961" s="117">
        <f t="shared" si="171"/>
        <v>488.39700000000005</v>
      </c>
      <c r="AN961" s="117">
        <f t="shared" si="171"/>
        <v>8490.466</v>
      </c>
      <c r="AO961" s="117">
        <f t="shared" si="171"/>
        <v>0</v>
      </c>
      <c r="AP961" s="117">
        <f t="shared" si="171"/>
        <v>0</v>
      </c>
      <c r="AQ961" s="117">
        <f t="shared" si="171"/>
        <v>0</v>
      </c>
      <c r="AR961" s="117">
        <f t="shared" si="171"/>
        <v>0</v>
      </c>
      <c r="AS961" s="117">
        <f t="shared" si="171"/>
        <v>0</v>
      </c>
      <c r="AT961" s="117">
        <f t="shared" si="171"/>
        <v>0</v>
      </c>
      <c r="AU961" s="117">
        <f t="shared" si="171"/>
        <v>0</v>
      </c>
      <c r="AV961" s="117">
        <f t="shared" si="171"/>
        <v>149.76</v>
      </c>
      <c r="AW961" s="117">
        <f aca="true" t="shared" si="172" ref="AW961:BU961">SUBTOTAL(9,AW941:AW960)</f>
        <v>0</v>
      </c>
      <c r="AX961" s="117">
        <f t="shared" si="172"/>
        <v>2787.92361</v>
      </c>
      <c r="AY961" s="117">
        <f t="shared" si="172"/>
        <v>1271.90609</v>
      </c>
      <c r="AZ961" s="117">
        <f t="shared" si="172"/>
        <v>10380.42</v>
      </c>
      <c r="BA961" s="117">
        <f t="shared" si="172"/>
        <v>19432.508719999998</v>
      </c>
      <c r="BB961" s="117">
        <f t="shared" si="172"/>
        <v>0</v>
      </c>
      <c r="BC961" s="117">
        <f t="shared" si="172"/>
        <v>22370.25526</v>
      </c>
      <c r="BD961" s="117">
        <f t="shared" si="172"/>
        <v>21938.509130000006</v>
      </c>
      <c r="BE961" s="117">
        <f t="shared" si="172"/>
        <v>1820.83286</v>
      </c>
      <c r="BF961" s="117">
        <f t="shared" si="172"/>
        <v>0</v>
      </c>
      <c r="BG961" s="117">
        <f t="shared" si="172"/>
        <v>0</v>
      </c>
      <c r="BH961" s="117">
        <f t="shared" si="172"/>
        <v>0</v>
      </c>
      <c r="BI961" s="117">
        <f t="shared" si="172"/>
        <v>0</v>
      </c>
      <c r="BJ961" s="117">
        <f t="shared" si="172"/>
        <v>9770.72748</v>
      </c>
      <c r="BK961" s="117"/>
      <c r="BL961" s="117">
        <f t="shared" si="172"/>
        <v>0</v>
      </c>
      <c r="BM961" s="117">
        <f t="shared" si="172"/>
        <v>172.95111</v>
      </c>
      <c r="BN961" s="117">
        <f t="shared" si="172"/>
        <v>2559.8944300000003</v>
      </c>
      <c r="BO961" s="117">
        <f t="shared" si="172"/>
        <v>0</v>
      </c>
      <c r="BP961" s="117">
        <f t="shared" si="172"/>
        <v>0</v>
      </c>
      <c r="BQ961" s="117">
        <f t="shared" si="172"/>
        <v>0</v>
      </c>
      <c r="BR961" s="117">
        <f t="shared" si="172"/>
        <v>2776.5</v>
      </c>
      <c r="BS961" s="117">
        <f t="shared" si="172"/>
        <v>0</v>
      </c>
      <c r="BT961" s="117">
        <f t="shared" si="172"/>
        <v>0</v>
      </c>
      <c r="BU961" s="117">
        <f t="shared" si="172"/>
        <v>0</v>
      </c>
    </row>
    <row r="962" spans="1:73" ht="35.25" customHeight="1" outlineLevel="2">
      <c r="A962" s="34" t="s">
        <v>1175</v>
      </c>
      <c r="B962" s="3" t="s">
        <v>977</v>
      </c>
      <c r="C962" s="4" t="s">
        <v>1496</v>
      </c>
      <c r="D962" s="230" t="s">
        <v>1176</v>
      </c>
      <c r="E962" s="203" t="s">
        <v>2743</v>
      </c>
      <c r="F962" s="108">
        <f aca="true" t="shared" si="173" ref="F962:F990">G962+H962</f>
        <v>35113.28531000001</v>
      </c>
      <c r="G962" s="106">
        <f>I962+K962+O962+S962+U962+W962+Y962+AA962+AC962+AE962+AR962+AX962+BC962+BG962+BP962+BR962+BT962+AO962</f>
        <v>6764.31454</v>
      </c>
      <c r="H962" s="106">
        <f>J962+L962+M962+N962+P962+Q962+R962+T962+V962+X962+Z962+AB962+AD962+AF962+AG962+AJ962+AL962+AS962+AT962+AU962+AV962+AW962+AY962+AZ962+BA962+BB962+BD962+BE962+BF962+BH962+BI962+BJ962+BL962+BM962+BN962+BO962+BQ962+BS962+BU962+AH962+AI962+AK962+AM962+AN962+AP962+AQ962+BK962</f>
        <v>28348.970770000004</v>
      </c>
      <c r="I962" s="119"/>
      <c r="J962" s="119"/>
      <c r="K962" s="119">
        <v>261.93061</v>
      </c>
      <c r="L962" s="119">
        <v>82.33819</v>
      </c>
      <c r="M962" s="119">
        <v>5907.50272</v>
      </c>
      <c r="N962" s="119"/>
      <c r="O962" s="120"/>
      <c r="P962" s="120"/>
      <c r="Q962" s="120"/>
      <c r="R962" s="120"/>
      <c r="S962" s="120"/>
      <c r="T962" s="120"/>
      <c r="U962" s="120">
        <v>654.62859</v>
      </c>
      <c r="V962" s="120">
        <v>0</v>
      </c>
      <c r="W962" s="120">
        <v>2523.59423</v>
      </c>
      <c r="X962" s="120">
        <v>1317.49288</v>
      </c>
      <c r="Y962" s="119">
        <v>342.47245</v>
      </c>
      <c r="Z962" s="119">
        <v>1447.24</v>
      </c>
      <c r="AA962" s="163">
        <v>80.82098</v>
      </c>
      <c r="AB962" s="120">
        <v>122.2111</v>
      </c>
      <c r="AC962" s="119"/>
      <c r="AD962" s="119"/>
      <c r="AE962" s="119"/>
      <c r="AF962" s="119"/>
      <c r="AG962" s="119"/>
      <c r="AH962" s="119"/>
      <c r="AI962" s="119"/>
      <c r="AJ962" s="108">
        <v>1868.62144</v>
      </c>
      <c r="AK962" s="119">
        <f>132.9028+51.881</f>
        <v>184.7838</v>
      </c>
      <c r="AL962" s="119"/>
      <c r="AM962" s="119"/>
      <c r="AN962" s="119"/>
      <c r="AO962" s="119"/>
      <c r="AP962" s="119"/>
      <c r="AQ962" s="119"/>
      <c r="AR962" s="119"/>
      <c r="AS962" s="119"/>
      <c r="AT962" s="119"/>
      <c r="AU962" s="119"/>
      <c r="AV962" s="119"/>
      <c r="AW962" s="119"/>
      <c r="AX962" s="119"/>
      <c r="AY962" s="120">
        <v>963.3729</v>
      </c>
      <c r="AZ962" s="119"/>
      <c r="BA962" s="119">
        <f>16.35593+10439.02312</f>
        <v>10455.37905</v>
      </c>
      <c r="BB962" s="119"/>
      <c r="BC962" s="119">
        <v>2900.86768</v>
      </c>
      <c r="BD962" s="119">
        <v>2844.6015</v>
      </c>
      <c r="BE962" s="119"/>
      <c r="BF962" s="119"/>
      <c r="BG962" s="119"/>
      <c r="BH962" s="119"/>
      <c r="BI962" s="119"/>
      <c r="BJ962" s="119">
        <v>3155.42719</v>
      </c>
      <c r="BK962" s="119"/>
      <c r="BL962" s="119"/>
      <c r="BM962" s="119"/>
      <c r="BN962" s="119"/>
      <c r="BO962" s="119"/>
      <c r="BP962" s="119"/>
      <c r="BQ962" s="121"/>
      <c r="BR962" s="121"/>
      <c r="BS962" s="121"/>
      <c r="BT962" s="121"/>
      <c r="BU962" s="140"/>
    </row>
    <row r="963" spans="1:73" ht="38.25" customHeight="1" outlineLevel="2">
      <c r="A963" s="35" t="s">
        <v>1175</v>
      </c>
      <c r="B963" s="37" t="s">
        <v>746</v>
      </c>
      <c r="C963" s="20" t="s">
        <v>1496</v>
      </c>
      <c r="D963" s="218" t="s">
        <v>1319</v>
      </c>
      <c r="E963" s="203" t="s">
        <v>2742</v>
      </c>
      <c r="F963" s="108">
        <f t="shared" si="173"/>
        <v>3705.80698</v>
      </c>
      <c r="G963" s="106">
        <f aca="true" t="shared" si="174" ref="G963:G984">I963+K963+O963+S963+U963+W963+Y963+AA963+AC963+AE963+AR963+AX963+BC963+BG963+BP963+BR963+BT963+AO963</f>
        <v>3099.1872</v>
      </c>
      <c r="H963" s="106">
        <f aca="true" t="shared" si="175" ref="H963:H984">J963+L963+M963+N963+P963+Q963+R963+T963+V963+X963+Z963+AB963+AD963+AF963+AG963+AJ963+AL963+AS963+AT963+AU963+AV963+AW963+AY963+AZ963+BA963+BB963+BD963+BE963+BF963+BH963+BI963+BJ963+BL963+BM963+BN963+BO963+BQ963+BS963+BU963+AH963+AI963+AK963+AM963+AN963+AP963+AQ963+BK963</f>
        <v>606.61978</v>
      </c>
      <c r="I963" s="107">
        <v>2426.47937</v>
      </c>
      <c r="J963" s="107">
        <v>606.61978</v>
      </c>
      <c r="K963" s="107"/>
      <c r="L963" s="107"/>
      <c r="M963" s="107"/>
      <c r="N963" s="107"/>
      <c r="O963" s="106"/>
      <c r="P963" s="106"/>
      <c r="Q963" s="106"/>
      <c r="R963" s="106"/>
      <c r="S963" s="106"/>
      <c r="T963" s="106"/>
      <c r="U963" s="106">
        <v>672.70783</v>
      </c>
      <c r="V963" s="106">
        <v>0</v>
      </c>
      <c r="W963" s="106"/>
      <c r="X963" s="106"/>
      <c r="Y963" s="107"/>
      <c r="Z963" s="107"/>
      <c r="AA963" s="106"/>
      <c r="AB963" s="106"/>
      <c r="AC963" s="107"/>
      <c r="AD963" s="107"/>
      <c r="AE963" s="107"/>
      <c r="AF963" s="107"/>
      <c r="AG963" s="107"/>
      <c r="AH963" s="107"/>
      <c r="AI963" s="107"/>
      <c r="AJ963" s="108">
        <v>0</v>
      </c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7"/>
      <c r="AV963" s="107"/>
      <c r="AW963" s="107"/>
      <c r="AX963" s="107"/>
      <c r="AY963" s="106"/>
      <c r="AZ963" s="107"/>
      <c r="BA963" s="107"/>
      <c r="BB963" s="107"/>
      <c r="BC963" s="107"/>
      <c r="BD963" s="107"/>
      <c r="BE963" s="107"/>
      <c r="BF963" s="107"/>
      <c r="BG963" s="107"/>
      <c r="BH963" s="107"/>
      <c r="BI963" s="107"/>
      <c r="BJ963" s="107"/>
      <c r="BK963" s="107"/>
      <c r="BL963" s="107"/>
      <c r="BM963" s="107"/>
      <c r="BN963" s="107"/>
      <c r="BO963" s="107"/>
      <c r="BP963" s="107"/>
      <c r="BQ963" s="109"/>
      <c r="BR963" s="109"/>
      <c r="BS963" s="109"/>
      <c r="BT963" s="109"/>
      <c r="BU963" s="138"/>
    </row>
    <row r="964" spans="1:73" ht="29.25" customHeight="1" outlineLevel="2">
      <c r="A964" s="35" t="s">
        <v>1175</v>
      </c>
      <c r="B964" s="37" t="s">
        <v>747</v>
      </c>
      <c r="C964" s="20" t="s">
        <v>1496</v>
      </c>
      <c r="D964" s="218" t="s">
        <v>382</v>
      </c>
      <c r="E964" s="203" t="s">
        <v>2746</v>
      </c>
      <c r="F964" s="108">
        <f t="shared" si="173"/>
        <v>16833.23798</v>
      </c>
      <c r="G964" s="106">
        <f t="shared" si="174"/>
        <v>10290.55515</v>
      </c>
      <c r="H964" s="106">
        <f t="shared" si="175"/>
        <v>6542.682830000001</v>
      </c>
      <c r="I964" s="107"/>
      <c r="J964" s="107"/>
      <c r="K964" s="107">
        <v>2583.11867</v>
      </c>
      <c r="L964" s="107">
        <v>362.02971</v>
      </c>
      <c r="M964" s="107">
        <v>379.52271</v>
      </c>
      <c r="N964" s="107"/>
      <c r="O964" s="106"/>
      <c r="P964" s="106"/>
      <c r="Q964" s="106"/>
      <c r="R964" s="106"/>
      <c r="S964" s="106">
        <v>224.85205</v>
      </c>
      <c r="T964" s="106">
        <v>57.82397</v>
      </c>
      <c r="U964" s="106">
        <f>55.03767+350.43291</f>
        <v>405.47058</v>
      </c>
      <c r="V964" s="106">
        <v>87.60823</v>
      </c>
      <c r="W964" s="106"/>
      <c r="X964" s="106"/>
      <c r="Y964" s="107"/>
      <c r="Z964" s="107"/>
      <c r="AA964" s="106"/>
      <c r="AB964" s="106"/>
      <c r="AC964" s="107"/>
      <c r="AD964" s="107"/>
      <c r="AE964" s="107"/>
      <c r="AF964" s="107"/>
      <c r="AG964" s="107"/>
      <c r="AH964" s="107"/>
      <c r="AI964" s="107"/>
      <c r="AJ964" s="108">
        <v>702.10352</v>
      </c>
      <c r="AK964" s="107">
        <f>73.5315+51.881</f>
        <v>125.4125</v>
      </c>
      <c r="AL964" s="107"/>
      <c r="AM964" s="107"/>
      <c r="AN964" s="107"/>
      <c r="AO964" s="107">
        <v>4757.2129</v>
      </c>
      <c r="AP964" s="107">
        <v>994.24</v>
      </c>
      <c r="AQ964" s="107"/>
      <c r="AR964" s="107"/>
      <c r="AS964" s="107"/>
      <c r="AT964" s="107"/>
      <c r="AU964" s="107"/>
      <c r="AV964" s="107"/>
      <c r="AW964" s="107"/>
      <c r="AX964" s="107">
        <v>722.16</v>
      </c>
      <c r="AY964" s="106">
        <v>1610.97664</v>
      </c>
      <c r="AZ964" s="107"/>
      <c r="BA964" s="107">
        <v>603.79996</v>
      </c>
      <c r="BB964" s="107"/>
      <c r="BC964" s="107">
        <v>1597.74095</v>
      </c>
      <c r="BD964" s="107">
        <v>1566.87978</v>
      </c>
      <c r="BE964" s="107">
        <v>52.28581</v>
      </c>
      <c r="BF964" s="107"/>
      <c r="BG964" s="107"/>
      <c r="BH964" s="107"/>
      <c r="BI964" s="107"/>
      <c r="BJ964" s="107"/>
      <c r="BK964" s="107"/>
      <c r="BL964" s="107"/>
      <c r="BM964" s="107"/>
      <c r="BN964" s="107"/>
      <c r="BO964" s="107"/>
      <c r="BP964" s="107"/>
      <c r="BQ964" s="109"/>
      <c r="BR964" s="109"/>
      <c r="BS964" s="109"/>
      <c r="BT964" s="109"/>
      <c r="BU964" s="138"/>
    </row>
    <row r="965" spans="1:73" ht="31.5" customHeight="1" outlineLevel="2">
      <c r="A965" s="24" t="s">
        <v>1175</v>
      </c>
      <c r="B965" s="19" t="s">
        <v>749</v>
      </c>
      <c r="C965" s="20" t="s">
        <v>1496</v>
      </c>
      <c r="D965" s="218" t="s">
        <v>383</v>
      </c>
      <c r="E965" s="203" t="s">
        <v>2745</v>
      </c>
      <c r="F965" s="108">
        <f t="shared" si="173"/>
        <v>277.89287</v>
      </c>
      <c r="G965" s="106">
        <f t="shared" si="174"/>
        <v>87.12262</v>
      </c>
      <c r="H965" s="106">
        <f t="shared" si="175"/>
        <v>190.77025</v>
      </c>
      <c r="I965" s="107"/>
      <c r="J965" s="107"/>
      <c r="K965" s="107"/>
      <c r="L965" s="107"/>
      <c r="M965" s="107"/>
      <c r="N965" s="107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7"/>
      <c r="Z965" s="107"/>
      <c r="AA965" s="159"/>
      <c r="AB965" s="106"/>
      <c r="AC965" s="107"/>
      <c r="AD965" s="107"/>
      <c r="AE965" s="107"/>
      <c r="AF965" s="107"/>
      <c r="AG965" s="107"/>
      <c r="AH965" s="107"/>
      <c r="AI965" s="107"/>
      <c r="AJ965" s="108">
        <v>0</v>
      </c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7"/>
      <c r="AV965" s="107"/>
      <c r="AW965" s="107"/>
      <c r="AX965" s="107"/>
      <c r="AY965" s="106"/>
      <c r="AZ965" s="107"/>
      <c r="BA965" s="107"/>
      <c r="BB965" s="107"/>
      <c r="BC965" s="107">
        <v>87.12262</v>
      </c>
      <c r="BD965" s="107">
        <v>85.43423</v>
      </c>
      <c r="BE965" s="107">
        <v>105.33602</v>
      </c>
      <c r="BF965" s="107"/>
      <c r="BG965" s="107"/>
      <c r="BH965" s="107"/>
      <c r="BI965" s="107"/>
      <c r="BJ965" s="107"/>
      <c r="BK965" s="107"/>
      <c r="BL965" s="107"/>
      <c r="BM965" s="107"/>
      <c r="BN965" s="107"/>
      <c r="BO965" s="107"/>
      <c r="BP965" s="107"/>
      <c r="BQ965" s="109"/>
      <c r="BR965" s="109"/>
      <c r="BS965" s="109"/>
      <c r="BT965" s="109"/>
      <c r="BU965" s="138"/>
    </row>
    <row r="966" spans="1:73" ht="36.75" customHeight="1" outlineLevel="2">
      <c r="A966" s="24" t="s">
        <v>1175</v>
      </c>
      <c r="B966" s="19" t="s">
        <v>748</v>
      </c>
      <c r="C966" s="20" t="s">
        <v>1496</v>
      </c>
      <c r="D966" s="218" t="s">
        <v>384</v>
      </c>
      <c r="E966" s="203" t="s">
        <v>2744</v>
      </c>
      <c r="F966" s="108">
        <f t="shared" si="173"/>
        <v>11860.0838</v>
      </c>
      <c r="G966" s="106">
        <f t="shared" si="174"/>
        <v>4501.16967</v>
      </c>
      <c r="H966" s="106">
        <f t="shared" si="175"/>
        <v>7358.91413</v>
      </c>
      <c r="I966" s="107"/>
      <c r="J966" s="107"/>
      <c r="K966" s="107"/>
      <c r="L966" s="107"/>
      <c r="M966" s="107">
        <v>331.84502</v>
      </c>
      <c r="N966" s="107"/>
      <c r="O966" s="106"/>
      <c r="P966" s="106"/>
      <c r="Q966" s="106">
        <v>187.84742</v>
      </c>
      <c r="R966" s="106"/>
      <c r="S966" s="106">
        <v>498.79725</v>
      </c>
      <c r="T966" s="106">
        <v>165.79725</v>
      </c>
      <c r="U966" s="106"/>
      <c r="V966" s="106"/>
      <c r="W966" s="106">
        <v>1105.03037</v>
      </c>
      <c r="X966" s="106">
        <v>576.90323</v>
      </c>
      <c r="Y966" s="107">
        <v>76</v>
      </c>
      <c r="Z966" s="107">
        <v>199.65</v>
      </c>
      <c r="AA966" s="159">
        <v>842.34375</v>
      </c>
      <c r="AB966" s="106">
        <v>495.18273</v>
      </c>
      <c r="AC966" s="107"/>
      <c r="AD966" s="107"/>
      <c r="AE966" s="107"/>
      <c r="AF966" s="107"/>
      <c r="AG966" s="107">
        <v>68.2605</v>
      </c>
      <c r="AH966" s="107"/>
      <c r="AI966" s="107"/>
      <c r="AJ966" s="108">
        <v>2059.53787</v>
      </c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7"/>
      <c r="AV966" s="107">
        <v>141.44</v>
      </c>
      <c r="AW966" s="107"/>
      <c r="AX966" s="107"/>
      <c r="AY966" s="106"/>
      <c r="AZ966" s="107"/>
      <c r="BA966" s="107">
        <v>265.31796</v>
      </c>
      <c r="BB966" s="107"/>
      <c r="BC966" s="107">
        <v>1978.9983</v>
      </c>
      <c r="BD966" s="107">
        <v>1940.72867</v>
      </c>
      <c r="BE966" s="107">
        <v>735.74561</v>
      </c>
      <c r="BF966" s="107"/>
      <c r="BG966" s="107"/>
      <c r="BH966" s="107"/>
      <c r="BI966" s="107"/>
      <c r="BJ966" s="107">
        <v>190.65787</v>
      </c>
      <c r="BK966" s="107"/>
      <c r="BL966" s="107"/>
      <c r="BM966" s="107"/>
      <c r="BN966" s="107"/>
      <c r="BO966" s="107"/>
      <c r="BP966" s="107"/>
      <c r="BQ966" s="109"/>
      <c r="BR966" s="109"/>
      <c r="BS966" s="109"/>
      <c r="BT966" s="109"/>
      <c r="BU966" s="138"/>
    </row>
    <row r="967" spans="1:73" ht="40.5" outlineLevel="2">
      <c r="A967" s="24" t="s">
        <v>1175</v>
      </c>
      <c r="B967" s="37" t="s">
        <v>968</v>
      </c>
      <c r="C967" s="20" t="s">
        <v>587</v>
      </c>
      <c r="D967" s="218" t="s">
        <v>648</v>
      </c>
      <c r="E967" s="220" t="s">
        <v>2747</v>
      </c>
      <c r="F967" s="108">
        <f t="shared" si="173"/>
        <v>109.3883</v>
      </c>
      <c r="G967" s="106">
        <f t="shared" si="174"/>
        <v>55.22941</v>
      </c>
      <c r="H967" s="106">
        <f t="shared" si="175"/>
        <v>54.15889</v>
      </c>
      <c r="I967" s="107"/>
      <c r="J967" s="107"/>
      <c r="K967" s="107"/>
      <c r="L967" s="107"/>
      <c r="M967" s="107"/>
      <c r="N967" s="107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7"/>
      <c r="Z967" s="107"/>
      <c r="AA967" s="159"/>
      <c r="AB967" s="106"/>
      <c r="AC967" s="107"/>
      <c r="AD967" s="107"/>
      <c r="AE967" s="107"/>
      <c r="AF967" s="107"/>
      <c r="AG967" s="107"/>
      <c r="AH967" s="107"/>
      <c r="AI967" s="107"/>
      <c r="AJ967" s="108">
        <v>0</v>
      </c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7"/>
      <c r="AV967" s="107"/>
      <c r="AW967" s="107"/>
      <c r="AX967" s="107"/>
      <c r="AY967" s="106"/>
      <c r="AZ967" s="107"/>
      <c r="BA967" s="107"/>
      <c r="BB967" s="107"/>
      <c r="BC967" s="107">
        <v>55.22941</v>
      </c>
      <c r="BD967" s="107">
        <v>54.15889</v>
      </c>
      <c r="BE967" s="107"/>
      <c r="BF967" s="107"/>
      <c r="BG967" s="107"/>
      <c r="BH967" s="107"/>
      <c r="BI967" s="107"/>
      <c r="BJ967" s="107"/>
      <c r="BK967" s="107"/>
      <c r="BL967" s="107"/>
      <c r="BM967" s="107"/>
      <c r="BN967" s="107"/>
      <c r="BO967" s="107"/>
      <c r="BP967" s="107"/>
      <c r="BQ967" s="109"/>
      <c r="BR967" s="109"/>
      <c r="BS967" s="109"/>
      <c r="BT967" s="109"/>
      <c r="BU967" s="138"/>
    </row>
    <row r="968" spans="1:73" ht="40.5" outlineLevel="2">
      <c r="A968" s="24" t="s">
        <v>1175</v>
      </c>
      <c r="B968" s="37" t="s">
        <v>176</v>
      </c>
      <c r="C968" s="20" t="s">
        <v>587</v>
      </c>
      <c r="D968" s="218" t="s">
        <v>1537</v>
      </c>
      <c r="E968" s="220" t="s">
        <v>2748</v>
      </c>
      <c r="F968" s="108">
        <f t="shared" si="173"/>
        <v>23.24599</v>
      </c>
      <c r="G968" s="106">
        <f t="shared" si="174"/>
        <v>11.73626</v>
      </c>
      <c r="H968" s="106">
        <f t="shared" si="175"/>
        <v>11.50973</v>
      </c>
      <c r="I968" s="107"/>
      <c r="J968" s="107"/>
      <c r="K968" s="107"/>
      <c r="L968" s="107"/>
      <c r="M968" s="107"/>
      <c r="N968" s="107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7"/>
      <c r="Z968" s="107"/>
      <c r="AA968" s="106"/>
      <c r="AB968" s="106"/>
      <c r="AC968" s="107"/>
      <c r="AD968" s="107"/>
      <c r="AE968" s="107"/>
      <c r="AF968" s="107"/>
      <c r="AG968" s="107"/>
      <c r="AH968" s="107"/>
      <c r="AI968" s="107"/>
      <c r="AJ968" s="108">
        <v>0</v>
      </c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7"/>
      <c r="AV968" s="107"/>
      <c r="AW968" s="107"/>
      <c r="AX968" s="107"/>
      <c r="AY968" s="106"/>
      <c r="AZ968" s="107"/>
      <c r="BA968" s="107"/>
      <c r="BB968" s="107"/>
      <c r="BC968" s="107">
        <v>11.73626</v>
      </c>
      <c r="BD968" s="107">
        <v>11.50973</v>
      </c>
      <c r="BE968" s="107"/>
      <c r="BF968" s="107"/>
      <c r="BG968" s="107"/>
      <c r="BH968" s="107"/>
      <c r="BI968" s="107"/>
      <c r="BJ968" s="107"/>
      <c r="BK968" s="107"/>
      <c r="BL968" s="107"/>
      <c r="BM968" s="107"/>
      <c r="BN968" s="107"/>
      <c r="BO968" s="107"/>
      <c r="BP968" s="107"/>
      <c r="BQ968" s="109"/>
      <c r="BR968" s="109"/>
      <c r="BS968" s="109"/>
      <c r="BT968" s="109"/>
      <c r="BU968" s="138"/>
    </row>
    <row r="969" spans="1:73" ht="40.5" outlineLevel="2">
      <c r="A969" s="24" t="s">
        <v>1175</v>
      </c>
      <c r="B969" s="37" t="s">
        <v>1270</v>
      </c>
      <c r="C969" s="20" t="s">
        <v>587</v>
      </c>
      <c r="D969" s="218" t="s">
        <v>1536</v>
      </c>
      <c r="E969" s="220" t="s">
        <v>2749</v>
      </c>
      <c r="F969" s="108">
        <f t="shared" si="173"/>
        <v>43.58167</v>
      </c>
      <c r="G969" s="106">
        <f t="shared" si="174"/>
        <v>21.84397</v>
      </c>
      <c r="H969" s="106">
        <f t="shared" si="175"/>
        <v>21.7377</v>
      </c>
      <c r="I969" s="107"/>
      <c r="J969" s="107"/>
      <c r="K969" s="107"/>
      <c r="L969" s="107"/>
      <c r="M969" s="107"/>
      <c r="N969" s="107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7"/>
      <c r="Z969" s="107"/>
      <c r="AA969" s="106"/>
      <c r="AB969" s="106"/>
      <c r="AC969" s="107"/>
      <c r="AD969" s="107"/>
      <c r="AE969" s="107"/>
      <c r="AF969" s="107"/>
      <c r="AG969" s="107"/>
      <c r="AH969" s="107"/>
      <c r="AI969" s="107"/>
      <c r="AJ969" s="108">
        <v>0</v>
      </c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7"/>
      <c r="AV969" s="107"/>
      <c r="AW969" s="107"/>
      <c r="AX969" s="107"/>
      <c r="AY969" s="106"/>
      <c r="AZ969" s="107"/>
      <c r="BA969" s="107"/>
      <c r="BB969" s="107"/>
      <c r="BC969" s="107">
        <v>21.84397</v>
      </c>
      <c r="BD969" s="107">
        <v>21.7377</v>
      </c>
      <c r="BE969" s="107"/>
      <c r="BF969" s="107"/>
      <c r="BG969" s="107"/>
      <c r="BH969" s="107"/>
      <c r="BI969" s="107"/>
      <c r="BJ969" s="107"/>
      <c r="BK969" s="107"/>
      <c r="BL969" s="107"/>
      <c r="BM969" s="107"/>
      <c r="BN969" s="107"/>
      <c r="BO969" s="107"/>
      <c r="BP969" s="107"/>
      <c r="BQ969" s="109"/>
      <c r="BR969" s="109"/>
      <c r="BS969" s="109"/>
      <c r="BT969" s="109"/>
      <c r="BU969" s="138"/>
    </row>
    <row r="970" spans="1:73" ht="40.5" outlineLevel="2">
      <c r="A970" s="24" t="s">
        <v>1175</v>
      </c>
      <c r="B970" s="37" t="s">
        <v>1641</v>
      </c>
      <c r="C970" s="20" t="s">
        <v>587</v>
      </c>
      <c r="D970" s="218" t="s">
        <v>1688</v>
      </c>
      <c r="E970" s="220" t="s">
        <v>2750</v>
      </c>
      <c r="F970" s="108">
        <f t="shared" si="173"/>
        <v>13.63196</v>
      </c>
      <c r="G970" s="106">
        <f t="shared" si="174"/>
        <v>7.72795</v>
      </c>
      <c r="H970" s="106">
        <f t="shared" si="175"/>
        <v>5.90401</v>
      </c>
      <c r="I970" s="107"/>
      <c r="J970" s="107"/>
      <c r="K970" s="107"/>
      <c r="L970" s="107"/>
      <c r="M970" s="107"/>
      <c r="N970" s="107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7"/>
      <c r="Z970" s="107"/>
      <c r="AA970" s="106">
        <v>3.72682</v>
      </c>
      <c r="AB970" s="106">
        <v>1.98073</v>
      </c>
      <c r="AC970" s="107"/>
      <c r="AD970" s="107"/>
      <c r="AE970" s="107"/>
      <c r="AF970" s="107"/>
      <c r="AG970" s="107"/>
      <c r="AH970" s="107"/>
      <c r="AI970" s="107"/>
      <c r="AJ970" s="108">
        <v>0</v>
      </c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7"/>
      <c r="AV970" s="107"/>
      <c r="AW970" s="107"/>
      <c r="AX970" s="107"/>
      <c r="AY970" s="106"/>
      <c r="AZ970" s="107"/>
      <c r="BA970" s="107"/>
      <c r="BB970" s="107"/>
      <c r="BC970" s="107">
        <v>4.00113</v>
      </c>
      <c r="BD970" s="107">
        <v>3.92328</v>
      </c>
      <c r="BE970" s="107"/>
      <c r="BF970" s="107"/>
      <c r="BG970" s="107"/>
      <c r="BH970" s="107"/>
      <c r="BI970" s="107"/>
      <c r="BJ970" s="107"/>
      <c r="BK970" s="107"/>
      <c r="BL970" s="107"/>
      <c r="BM970" s="107"/>
      <c r="BN970" s="107"/>
      <c r="BO970" s="107"/>
      <c r="BP970" s="107"/>
      <c r="BQ970" s="109"/>
      <c r="BR970" s="109"/>
      <c r="BS970" s="109"/>
      <c r="BT970" s="109"/>
      <c r="BU970" s="138"/>
    </row>
    <row r="971" spans="1:73" ht="40.5" outlineLevel="2">
      <c r="A971" s="24" t="s">
        <v>1175</v>
      </c>
      <c r="B971" s="37" t="s">
        <v>1124</v>
      </c>
      <c r="C971" s="20" t="s">
        <v>587</v>
      </c>
      <c r="D971" s="218" t="s">
        <v>1265</v>
      </c>
      <c r="E971" s="220" t="s">
        <v>2751</v>
      </c>
      <c r="F971" s="108">
        <f t="shared" si="173"/>
        <v>14.44571</v>
      </c>
      <c r="G971" s="106">
        <f t="shared" si="174"/>
        <v>7.29311</v>
      </c>
      <c r="H971" s="106">
        <f t="shared" si="175"/>
        <v>7.1526</v>
      </c>
      <c r="I971" s="107"/>
      <c r="J971" s="107"/>
      <c r="K971" s="107"/>
      <c r="L971" s="107"/>
      <c r="M971" s="107"/>
      <c r="N971" s="107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7"/>
      <c r="Z971" s="107"/>
      <c r="AA971" s="106"/>
      <c r="AB971" s="106"/>
      <c r="AC971" s="107"/>
      <c r="AD971" s="107"/>
      <c r="AE971" s="107"/>
      <c r="AF971" s="107"/>
      <c r="AG971" s="107"/>
      <c r="AH971" s="107"/>
      <c r="AI971" s="107"/>
      <c r="AJ971" s="108">
        <v>0</v>
      </c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7"/>
      <c r="AV971" s="107"/>
      <c r="AW971" s="107"/>
      <c r="AX971" s="107"/>
      <c r="AY971" s="106"/>
      <c r="AZ971" s="107"/>
      <c r="BA971" s="107"/>
      <c r="BB971" s="107"/>
      <c r="BC971" s="107">
        <v>7.29311</v>
      </c>
      <c r="BD971" s="107">
        <v>7.1526</v>
      </c>
      <c r="BE971" s="107"/>
      <c r="BF971" s="107"/>
      <c r="BG971" s="107"/>
      <c r="BH971" s="107"/>
      <c r="BI971" s="107"/>
      <c r="BJ971" s="107"/>
      <c r="BK971" s="107"/>
      <c r="BL971" s="107"/>
      <c r="BM971" s="107"/>
      <c r="BN971" s="107"/>
      <c r="BO971" s="107"/>
      <c r="BP971" s="107"/>
      <c r="BQ971" s="109"/>
      <c r="BR971" s="109"/>
      <c r="BS971" s="109"/>
      <c r="BT971" s="109"/>
      <c r="BU971" s="138"/>
    </row>
    <row r="972" spans="1:73" ht="40.5" outlineLevel="2">
      <c r="A972" s="24" t="s">
        <v>1175</v>
      </c>
      <c r="B972" s="37" t="s">
        <v>499</v>
      </c>
      <c r="C972" s="20" t="s">
        <v>587</v>
      </c>
      <c r="D972" s="218" t="s">
        <v>636</v>
      </c>
      <c r="E972" s="220" t="s">
        <v>2752</v>
      </c>
      <c r="F972" s="108">
        <f t="shared" si="173"/>
        <v>65.61532</v>
      </c>
      <c r="G972" s="106">
        <f t="shared" si="174"/>
        <v>37.64417</v>
      </c>
      <c r="H972" s="106">
        <f t="shared" si="175"/>
        <v>27.97115</v>
      </c>
      <c r="I972" s="107"/>
      <c r="J972" s="107"/>
      <c r="K972" s="107"/>
      <c r="L972" s="107"/>
      <c r="M972" s="107"/>
      <c r="N972" s="107"/>
      <c r="O972" s="106">
        <f>18.60958</f>
        <v>18.60958</v>
      </c>
      <c r="P972" s="106">
        <f>9.3048</f>
        <v>9.3048</v>
      </c>
      <c r="Q972" s="106"/>
      <c r="R972" s="106"/>
      <c r="S972" s="106"/>
      <c r="T972" s="106"/>
      <c r="U972" s="106"/>
      <c r="V972" s="106"/>
      <c r="W972" s="106"/>
      <c r="X972" s="106"/>
      <c r="Y972" s="107"/>
      <c r="Z972" s="107"/>
      <c r="AA972" s="106"/>
      <c r="AB972" s="106"/>
      <c r="AC972" s="107"/>
      <c r="AD972" s="107"/>
      <c r="AE972" s="107"/>
      <c r="AF972" s="107"/>
      <c r="AG972" s="107"/>
      <c r="AH972" s="107"/>
      <c r="AI972" s="107"/>
      <c r="AJ972" s="108">
        <v>0</v>
      </c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7"/>
      <c r="AV972" s="107"/>
      <c r="AW972" s="107"/>
      <c r="AX972" s="107"/>
      <c r="AY972" s="106"/>
      <c r="AZ972" s="107"/>
      <c r="BA972" s="107"/>
      <c r="BB972" s="107"/>
      <c r="BC972" s="107">
        <v>19.03459</v>
      </c>
      <c r="BD972" s="107">
        <v>18.66635</v>
      </c>
      <c r="BE972" s="107"/>
      <c r="BF972" s="107"/>
      <c r="BG972" s="107"/>
      <c r="BH972" s="107"/>
      <c r="BI972" s="107"/>
      <c r="BJ972" s="107"/>
      <c r="BK972" s="107"/>
      <c r="BL972" s="107"/>
      <c r="BM972" s="107"/>
      <c r="BN972" s="107"/>
      <c r="BO972" s="107"/>
      <c r="BP972" s="107"/>
      <c r="BQ972" s="109"/>
      <c r="BR972" s="109"/>
      <c r="BS972" s="109"/>
      <c r="BT972" s="109"/>
      <c r="BU972" s="138"/>
    </row>
    <row r="973" spans="1:73" ht="40.5" outlineLevel="2">
      <c r="A973" s="24" t="s">
        <v>1175</v>
      </c>
      <c r="B973" s="37" t="s">
        <v>1775</v>
      </c>
      <c r="C973" s="20" t="s">
        <v>587</v>
      </c>
      <c r="D973" s="229" t="s">
        <v>1817</v>
      </c>
      <c r="E973" s="278" t="s">
        <v>2753</v>
      </c>
      <c r="F973" s="108">
        <f t="shared" si="173"/>
        <v>1500</v>
      </c>
      <c r="G973" s="106">
        <f t="shared" si="174"/>
        <v>1500</v>
      </c>
      <c r="H973" s="106">
        <f t="shared" si="175"/>
        <v>0</v>
      </c>
      <c r="I973" s="107"/>
      <c r="J973" s="107"/>
      <c r="K973" s="107"/>
      <c r="L973" s="107"/>
      <c r="M973" s="107"/>
      <c r="N973" s="107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7"/>
      <c r="Z973" s="107"/>
      <c r="AA973" s="159"/>
      <c r="AB973" s="106"/>
      <c r="AC973" s="107"/>
      <c r="AD973" s="107"/>
      <c r="AE973" s="107"/>
      <c r="AF973" s="107"/>
      <c r="AG973" s="107"/>
      <c r="AH973" s="107"/>
      <c r="AI973" s="107"/>
      <c r="AJ973" s="108">
        <v>0</v>
      </c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7"/>
      <c r="AV973" s="107"/>
      <c r="AW973" s="107"/>
      <c r="AX973" s="107"/>
      <c r="AY973" s="106"/>
      <c r="AZ973" s="107"/>
      <c r="BA973" s="107"/>
      <c r="BB973" s="107"/>
      <c r="BC973" s="107"/>
      <c r="BD973" s="107"/>
      <c r="BE973" s="107"/>
      <c r="BF973" s="107"/>
      <c r="BG973" s="107"/>
      <c r="BH973" s="107"/>
      <c r="BI973" s="107"/>
      <c r="BJ973" s="107"/>
      <c r="BK973" s="107"/>
      <c r="BL973" s="107"/>
      <c r="BM973" s="107"/>
      <c r="BN973" s="107"/>
      <c r="BO973" s="107"/>
      <c r="BP973" s="107"/>
      <c r="BQ973" s="109"/>
      <c r="BR973" s="109">
        <v>1500</v>
      </c>
      <c r="BS973" s="109"/>
      <c r="BT973" s="109"/>
      <c r="BU973" s="138"/>
    </row>
    <row r="974" spans="1:73" ht="39" customHeight="1" outlineLevel="2">
      <c r="A974" s="24" t="s">
        <v>1175</v>
      </c>
      <c r="B974" s="37" t="s">
        <v>1177</v>
      </c>
      <c r="C974" s="20" t="s">
        <v>587</v>
      </c>
      <c r="D974" s="218" t="s">
        <v>1078</v>
      </c>
      <c r="E974" s="203" t="s">
        <v>2757</v>
      </c>
      <c r="F974" s="108">
        <f t="shared" si="173"/>
        <v>717.61895</v>
      </c>
      <c r="G974" s="106">
        <f t="shared" si="174"/>
        <v>405.27409</v>
      </c>
      <c r="H974" s="106">
        <f t="shared" si="175"/>
        <v>312.34486</v>
      </c>
      <c r="I974" s="107"/>
      <c r="J974" s="107"/>
      <c r="K974" s="107"/>
      <c r="L974" s="107"/>
      <c r="M974" s="107"/>
      <c r="N974" s="107"/>
      <c r="O974" s="106">
        <v>110.95424</v>
      </c>
      <c r="P974" s="106">
        <v>4.78807</v>
      </c>
      <c r="Q974" s="106"/>
      <c r="R974" s="106"/>
      <c r="S974" s="106"/>
      <c r="T974" s="106"/>
      <c r="U974" s="106"/>
      <c r="V974" s="106"/>
      <c r="W974" s="106"/>
      <c r="X974" s="106"/>
      <c r="Y974" s="107"/>
      <c r="Z974" s="107"/>
      <c r="AA974" s="159">
        <v>161.78906</v>
      </c>
      <c r="AB974" s="106">
        <v>85.17143</v>
      </c>
      <c r="AC974" s="107"/>
      <c r="AD974" s="107"/>
      <c r="AE974" s="107"/>
      <c r="AF974" s="107"/>
      <c r="AG974" s="107"/>
      <c r="AH974" s="107"/>
      <c r="AI974" s="107"/>
      <c r="AJ974" s="108">
        <v>20.784399999999998</v>
      </c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7"/>
      <c r="AV974" s="107"/>
      <c r="AW974" s="107"/>
      <c r="AX974" s="107"/>
      <c r="AY974" s="106"/>
      <c r="AZ974" s="107"/>
      <c r="BA974" s="107"/>
      <c r="BB974" s="107"/>
      <c r="BC974" s="107">
        <v>132.53079</v>
      </c>
      <c r="BD974" s="107">
        <v>129.96838</v>
      </c>
      <c r="BE974" s="107">
        <v>71.63258</v>
      </c>
      <c r="BF974" s="107"/>
      <c r="BG974" s="107"/>
      <c r="BH974" s="107"/>
      <c r="BI974" s="107"/>
      <c r="BJ974" s="107"/>
      <c r="BK974" s="107"/>
      <c r="BL974" s="107"/>
      <c r="BM974" s="107"/>
      <c r="BN974" s="107"/>
      <c r="BO974" s="107"/>
      <c r="BP974" s="107"/>
      <c r="BQ974" s="109"/>
      <c r="BR974" s="109"/>
      <c r="BS974" s="109"/>
      <c r="BT974" s="109"/>
      <c r="BU974" s="138"/>
    </row>
    <row r="975" spans="1:73" ht="43.5" customHeight="1" outlineLevel="2">
      <c r="A975" s="24" t="s">
        <v>1175</v>
      </c>
      <c r="B975" s="37" t="s">
        <v>795</v>
      </c>
      <c r="C975" s="20" t="s">
        <v>587</v>
      </c>
      <c r="D975" s="218" t="s">
        <v>1038</v>
      </c>
      <c r="E975" s="203" t="s">
        <v>2760</v>
      </c>
      <c r="F975" s="108">
        <f t="shared" si="173"/>
        <v>277.80695</v>
      </c>
      <c r="G975" s="106">
        <f t="shared" si="174"/>
        <v>145.32025</v>
      </c>
      <c r="H975" s="106">
        <f t="shared" si="175"/>
        <v>132.48669999999998</v>
      </c>
      <c r="I975" s="107"/>
      <c r="J975" s="107"/>
      <c r="K975" s="107"/>
      <c r="L975" s="107"/>
      <c r="M975" s="107"/>
      <c r="N975" s="107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7"/>
      <c r="Z975" s="107"/>
      <c r="AA975" s="159">
        <v>47.98914</v>
      </c>
      <c r="AB975" s="106">
        <v>37.03967</v>
      </c>
      <c r="AC975" s="107"/>
      <c r="AD975" s="107"/>
      <c r="AE975" s="107"/>
      <c r="AF975" s="107"/>
      <c r="AG975" s="107"/>
      <c r="AH975" s="107"/>
      <c r="AI975" s="107"/>
      <c r="AJ975" s="108">
        <v>0</v>
      </c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7"/>
      <c r="AV975" s="107"/>
      <c r="AW975" s="107"/>
      <c r="AX975" s="107"/>
      <c r="AY975" s="106"/>
      <c r="AZ975" s="107"/>
      <c r="BA975" s="107"/>
      <c r="BB975" s="107"/>
      <c r="BC975" s="107">
        <v>97.33111</v>
      </c>
      <c r="BD975" s="107">
        <v>95.44703</v>
      </c>
      <c r="BE975" s="107"/>
      <c r="BF975" s="107"/>
      <c r="BG975" s="107"/>
      <c r="BH975" s="107"/>
      <c r="BI975" s="107"/>
      <c r="BJ975" s="107"/>
      <c r="BK975" s="107"/>
      <c r="BL975" s="107"/>
      <c r="BM975" s="107"/>
      <c r="BN975" s="107"/>
      <c r="BO975" s="107"/>
      <c r="BP975" s="107"/>
      <c r="BQ975" s="109"/>
      <c r="BR975" s="109"/>
      <c r="BS975" s="109"/>
      <c r="BT975" s="109"/>
      <c r="BU975" s="138"/>
    </row>
    <row r="976" spans="1:73" ht="33.75" customHeight="1" outlineLevel="2">
      <c r="A976" s="24" t="s">
        <v>1175</v>
      </c>
      <c r="B976" s="37" t="s">
        <v>1081</v>
      </c>
      <c r="C976" s="20" t="s">
        <v>587</v>
      </c>
      <c r="D976" s="218" t="s">
        <v>1082</v>
      </c>
      <c r="E976" s="203" t="s">
        <v>2761</v>
      </c>
      <c r="F976" s="108">
        <f t="shared" si="173"/>
        <v>280.65619000000004</v>
      </c>
      <c r="G976" s="106">
        <f t="shared" si="174"/>
        <v>145.59231</v>
      </c>
      <c r="H976" s="106">
        <f t="shared" si="175"/>
        <v>135.06388</v>
      </c>
      <c r="I976" s="107"/>
      <c r="J976" s="107"/>
      <c r="K976" s="107"/>
      <c r="L976" s="107"/>
      <c r="M976" s="107"/>
      <c r="N976" s="107"/>
      <c r="O976" s="106">
        <v>8.73328</v>
      </c>
      <c r="P976" s="106">
        <v>0.45966</v>
      </c>
      <c r="Q976" s="106"/>
      <c r="R976" s="106"/>
      <c r="S976" s="106"/>
      <c r="T976" s="106"/>
      <c r="U976" s="106"/>
      <c r="V976" s="106"/>
      <c r="W976" s="106"/>
      <c r="X976" s="106"/>
      <c r="Y976" s="107"/>
      <c r="Z976" s="107"/>
      <c r="AA976" s="159"/>
      <c r="AB976" s="106"/>
      <c r="AC976" s="107"/>
      <c r="AD976" s="107"/>
      <c r="AE976" s="107"/>
      <c r="AF976" s="107"/>
      <c r="AG976" s="107"/>
      <c r="AH976" s="107"/>
      <c r="AI976" s="107"/>
      <c r="AJ976" s="108">
        <v>0</v>
      </c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7"/>
      <c r="AV976" s="107"/>
      <c r="AW976" s="107"/>
      <c r="AX976" s="107"/>
      <c r="AY976" s="106"/>
      <c r="AZ976" s="107"/>
      <c r="BA976" s="107"/>
      <c r="BB976" s="107"/>
      <c r="BC976" s="107">
        <v>136.85903</v>
      </c>
      <c r="BD976" s="107">
        <v>134.60422</v>
      </c>
      <c r="BE976" s="107"/>
      <c r="BF976" s="107"/>
      <c r="BG976" s="107"/>
      <c r="BH976" s="107"/>
      <c r="BI976" s="107"/>
      <c r="BJ976" s="107"/>
      <c r="BK976" s="107"/>
      <c r="BL976" s="107"/>
      <c r="BM976" s="107"/>
      <c r="BN976" s="107"/>
      <c r="BO976" s="107"/>
      <c r="BP976" s="107"/>
      <c r="BQ976" s="109"/>
      <c r="BR976" s="109"/>
      <c r="BS976" s="109"/>
      <c r="BT976" s="109"/>
      <c r="BU976" s="138"/>
    </row>
    <row r="977" spans="1:73" ht="40.5" customHeight="1" outlineLevel="2">
      <c r="A977" s="24" t="s">
        <v>1175</v>
      </c>
      <c r="B977" s="37" t="s">
        <v>1079</v>
      </c>
      <c r="C977" s="20" t="s">
        <v>587</v>
      </c>
      <c r="D977" s="218" t="s">
        <v>1080</v>
      </c>
      <c r="E977" s="203" t="s">
        <v>2759</v>
      </c>
      <c r="F977" s="108">
        <f t="shared" si="173"/>
        <v>109.47843</v>
      </c>
      <c r="G977" s="106">
        <f t="shared" si="174"/>
        <v>55.27436</v>
      </c>
      <c r="H977" s="106">
        <f t="shared" si="175"/>
        <v>54.20407</v>
      </c>
      <c r="I977" s="107"/>
      <c r="J977" s="107"/>
      <c r="K977" s="107"/>
      <c r="L977" s="107"/>
      <c r="M977" s="107"/>
      <c r="N977" s="107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7"/>
      <c r="Z977" s="107"/>
      <c r="AA977" s="159"/>
      <c r="AB977" s="106"/>
      <c r="AC977" s="107"/>
      <c r="AD977" s="107"/>
      <c r="AE977" s="107"/>
      <c r="AF977" s="107"/>
      <c r="AG977" s="107"/>
      <c r="AH977" s="107"/>
      <c r="AI977" s="107"/>
      <c r="AJ977" s="108">
        <v>0</v>
      </c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7"/>
      <c r="AV977" s="107"/>
      <c r="AW977" s="107"/>
      <c r="AX977" s="107"/>
      <c r="AY977" s="106"/>
      <c r="AZ977" s="107"/>
      <c r="BA977" s="107"/>
      <c r="BB977" s="107"/>
      <c r="BC977" s="107">
        <v>55.27436</v>
      </c>
      <c r="BD977" s="107">
        <v>54.20407</v>
      </c>
      <c r="BE977" s="107"/>
      <c r="BF977" s="107"/>
      <c r="BG977" s="107"/>
      <c r="BH977" s="107"/>
      <c r="BI977" s="107"/>
      <c r="BJ977" s="107"/>
      <c r="BK977" s="107"/>
      <c r="BL977" s="107"/>
      <c r="BM977" s="107"/>
      <c r="BN977" s="107"/>
      <c r="BO977" s="107"/>
      <c r="BP977" s="107"/>
      <c r="BQ977" s="109"/>
      <c r="BR977" s="109"/>
      <c r="BS977" s="109"/>
      <c r="BT977" s="109"/>
      <c r="BU977" s="138"/>
    </row>
    <row r="978" spans="1:73" ht="40.5" customHeight="1" outlineLevel="2">
      <c r="A978" s="24" t="s">
        <v>1175</v>
      </c>
      <c r="B978" s="37" t="s">
        <v>1083</v>
      </c>
      <c r="C978" s="20" t="s">
        <v>587</v>
      </c>
      <c r="D978" s="218" t="s">
        <v>77</v>
      </c>
      <c r="E978" s="203" t="s">
        <v>2758</v>
      </c>
      <c r="F978" s="108">
        <f t="shared" si="173"/>
        <v>5135.17683</v>
      </c>
      <c r="G978" s="106">
        <f t="shared" si="174"/>
        <v>1254.5810999999999</v>
      </c>
      <c r="H978" s="106">
        <f t="shared" si="175"/>
        <v>3880.59573</v>
      </c>
      <c r="I978" s="107"/>
      <c r="J978" s="107"/>
      <c r="K978" s="107">
        <v>782.00204</v>
      </c>
      <c r="L978" s="107">
        <v>391.30103</v>
      </c>
      <c r="M978" s="107">
        <v>238.614</v>
      </c>
      <c r="N978" s="107"/>
      <c r="O978" s="106">
        <v>131.978</v>
      </c>
      <c r="P978" s="106">
        <v>6.18449</v>
      </c>
      <c r="Q978" s="106"/>
      <c r="R978" s="106"/>
      <c r="S978" s="106"/>
      <c r="T978" s="106"/>
      <c r="U978" s="106"/>
      <c r="V978" s="106"/>
      <c r="W978" s="106"/>
      <c r="X978" s="106"/>
      <c r="Y978" s="107"/>
      <c r="Z978" s="107"/>
      <c r="AA978" s="159">
        <v>156.46971</v>
      </c>
      <c r="AB978" s="106">
        <v>99.03655</v>
      </c>
      <c r="AC978" s="107"/>
      <c r="AD978" s="107"/>
      <c r="AE978" s="107"/>
      <c r="AF978" s="107"/>
      <c r="AG978" s="107"/>
      <c r="AH978" s="107"/>
      <c r="AI978" s="107"/>
      <c r="AJ978" s="108">
        <v>52.67424</v>
      </c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7"/>
      <c r="AV978" s="107"/>
      <c r="AW978" s="107"/>
      <c r="AX978" s="107"/>
      <c r="AY978" s="106"/>
      <c r="AZ978" s="107"/>
      <c r="BA978" s="107"/>
      <c r="BB978" s="107"/>
      <c r="BC978" s="107">
        <v>184.13135</v>
      </c>
      <c r="BD978" s="107">
        <v>180.57053</v>
      </c>
      <c r="BE978" s="107"/>
      <c r="BF978" s="107"/>
      <c r="BG978" s="107"/>
      <c r="BH978" s="107"/>
      <c r="BI978" s="107"/>
      <c r="BJ978" s="107">
        <v>2587.73789</v>
      </c>
      <c r="BK978" s="107"/>
      <c r="BL978" s="107"/>
      <c r="BM978" s="107">
        <v>324.477</v>
      </c>
      <c r="BN978" s="107"/>
      <c r="BO978" s="107"/>
      <c r="BP978" s="107"/>
      <c r="BQ978" s="109"/>
      <c r="BR978" s="109"/>
      <c r="BS978" s="109"/>
      <c r="BT978" s="109"/>
      <c r="BU978" s="138"/>
    </row>
    <row r="979" spans="1:73" ht="37.5" customHeight="1" outlineLevel="2">
      <c r="A979" s="24" t="s">
        <v>1175</v>
      </c>
      <c r="B979" s="37" t="s">
        <v>1126</v>
      </c>
      <c r="C979" s="20" t="s">
        <v>710</v>
      </c>
      <c r="D979" s="218" t="s">
        <v>649</v>
      </c>
      <c r="E979" s="220" t="s">
        <v>2754</v>
      </c>
      <c r="F979" s="108">
        <f t="shared" si="173"/>
        <v>292.4808</v>
      </c>
      <c r="G979" s="106">
        <f t="shared" si="174"/>
        <v>148.55145</v>
      </c>
      <c r="H979" s="106">
        <f t="shared" si="175"/>
        <v>143.92935</v>
      </c>
      <c r="I979" s="107"/>
      <c r="J979" s="107"/>
      <c r="K979" s="107"/>
      <c r="L979" s="107"/>
      <c r="M979" s="107"/>
      <c r="N979" s="107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7"/>
      <c r="Z979" s="107"/>
      <c r="AA979" s="106">
        <v>16.32214</v>
      </c>
      <c r="AB979" s="106">
        <v>11.88439</v>
      </c>
      <c r="AC979" s="107"/>
      <c r="AD979" s="107"/>
      <c r="AE979" s="107"/>
      <c r="AF979" s="107"/>
      <c r="AG979" s="107"/>
      <c r="AH979" s="107"/>
      <c r="AI979" s="107"/>
      <c r="AJ979" s="108">
        <v>0</v>
      </c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7"/>
      <c r="AV979" s="107"/>
      <c r="AW979" s="107"/>
      <c r="AX979" s="107"/>
      <c r="AY979" s="106"/>
      <c r="AZ979" s="107"/>
      <c r="BA979" s="107"/>
      <c r="BB979" s="107"/>
      <c r="BC979" s="107">
        <v>132.22931</v>
      </c>
      <c r="BD979" s="107">
        <v>132.04496</v>
      </c>
      <c r="BE979" s="107"/>
      <c r="BF979" s="107"/>
      <c r="BG979" s="107"/>
      <c r="BH979" s="107"/>
      <c r="BI979" s="107"/>
      <c r="BJ979" s="107"/>
      <c r="BK979" s="107"/>
      <c r="BL979" s="107"/>
      <c r="BM979" s="107"/>
      <c r="BN979" s="107"/>
      <c r="BO979" s="107"/>
      <c r="BP979" s="107"/>
      <c r="BQ979" s="109"/>
      <c r="BR979" s="109"/>
      <c r="BS979" s="109"/>
      <c r="BT979" s="109"/>
      <c r="BU979" s="138"/>
    </row>
    <row r="980" spans="1:73" ht="37.5" customHeight="1" outlineLevel="2">
      <c r="A980" s="24" t="s">
        <v>1175</v>
      </c>
      <c r="B980" s="37" t="s">
        <v>1125</v>
      </c>
      <c r="C980" s="20" t="s">
        <v>710</v>
      </c>
      <c r="D980" s="218" t="s">
        <v>1474</v>
      </c>
      <c r="E980" s="220" t="s">
        <v>2755</v>
      </c>
      <c r="F980" s="108">
        <f t="shared" si="173"/>
        <v>729.58061</v>
      </c>
      <c r="G980" s="106">
        <f t="shared" si="174"/>
        <v>262.62891</v>
      </c>
      <c r="H980" s="106">
        <f t="shared" si="175"/>
        <v>466.95169999999996</v>
      </c>
      <c r="I980" s="107"/>
      <c r="J980" s="107"/>
      <c r="K980" s="107"/>
      <c r="L980" s="107"/>
      <c r="M980" s="107"/>
      <c r="N980" s="107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7"/>
      <c r="Z980" s="107"/>
      <c r="AA980" s="159"/>
      <c r="AB980" s="106"/>
      <c r="AC980" s="107"/>
      <c r="AD980" s="107"/>
      <c r="AE980" s="107"/>
      <c r="AF980" s="107"/>
      <c r="AG980" s="107"/>
      <c r="AH980" s="107"/>
      <c r="AI980" s="107"/>
      <c r="AJ980" s="108">
        <v>45.98344</v>
      </c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7"/>
      <c r="AV980" s="107"/>
      <c r="AW980" s="107"/>
      <c r="AX980" s="107"/>
      <c r="AY980" s="106"/>
      <c r="AZ980" s="107"/>
      <c r="BA980" s="107"/>
      <c r="BB980" s="107"/>
      <c r="BC980" s="107">
        <v>262.62891</v>
      </c>
      <c r="BD980" s="107">
        <v>257.54292</v>
      </c>
      <c r="BE980" s="107"/>
      <c r="BF980" s="107"/>
      <c r="BG980" s="107"/>
      <c r="BH980" s="107"/>
      <c r="BI980" s="107"/>
      <c r="BJ980" s="107">
        <v>163.42534</v>
      </c>
      <c r="BK980" s="107"/>
      <c r="BL980" s="107"/>
      <c r="BM980" s="107"/>
      <c r="BN980" s="107"/>
      <c r="BO980" s="107"/>
      <c r="BP980" s="107"/>
      <c r="BQ980" s="109"/>
      <c r="BR980" s="109"/>
      <c r="BS980" s="109"/>
      <c r="BT980" s="109"/>
      <c r="BU980" s="138"/>
    </row>
    <row r="981" spans="1:73" ht="23.25" customHeight="1" outlineLevel="2">
      <c r="A981" s="24" t="s">
        <v>1175</v>
      </c>
      <c r="B981" s="37" t="s">
        <v>1123</v>
      </c>
      <c r="C981" s="20" t="s">
        <v>710</v>
      </c>
      <c r="D981" s="218" t="s">
        <v>1318</v>
      </c>
      <c r="E981" s="220" t="s">
        <v>2756</v>
      </c>
      <c r="F981" s="108">
        <f t="shared" si="173"/>
        <v>99.52590000000001</v>
      </c>
      <c r="G981" s="106">
        <f t="shared" si="174"/>
        <v>45.030460000000005</v>
      </c>
      <c r="H981" s="106">
        <f t="shared" si="175"/>
        <v>54.49544</v>
      </c>
      <c r="I981" s="107"/>
      <c r="J981" s="107"/>
      <c r="K981" s="107"/>
      <c r="L981" s="107"/>
      <c r="M981" s="107"/>
      <c r="N981" s="107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7"/>
      <c r="Z981" s="107"/>
      <c r="AA981" s="159">
        <v>14.43298</v>
      </c>
      <c r="AB981" s="106">
        <v>13.86512</v>
      </c>
      <c r="AC981" s="107"/>
      <c r="AD981" s="107"/>
      <c r="AE981" s="107"/>
      <c r="AF981" s="107"/>
      <c r="AG981" s="107"/>
      <c r="AH981" s="107"/>
      <c r="AI981" s="107"/>
      <c r="AJ981" s="108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7"/>
      <c r="AV981" s="107"/>
      <c r="AW981" s="107"/>
      <c r="AX981" s="107"/>
      <c r="AY981" s="106"/>
      <c r="AZ981" s="107"/>
      <c r="BA981" s="107"/>
      <c r="BB981" s="107"/>
      <c r="BC981" s="107">
        <v>30.59748</v>
      </c>
      <c r="BD981" s="107">
        <v>30.00767</v>
      </c>
      <c r="BE981" s="107"/>
      <c r="BF981" s="107"/>
      <c r="BG981" s="107"/>
      <c r="BH981" s="107"/>
      <c r="BI981" s="107"/>
      <c r="BJ981" s="107">
        <v>10.62265</v>
      </c>
      <c r="BK981" s="107"/>
      <c r="BL981" s="107"/>
      <c r="BM981" s="107"/>
      <c r="BN981" s="107"/>
      <c r="BO981" s="107"/>
      <c r="BP981" s="107"/>
      <c r="BQ981" s="109"/>
      <c r="BR981" s="109"/>
      <c r="BS981" s="109"/>
      <c r="BT981" s="109"/>
      <c r="BU981" s="138"/>
    </row>
    <row r="982" spans="1:73" ht="31.5" customHeight="1" outlineLevel="2">
      <c r="A982" s="35" t="s">
        <v>1175</v>
      </c>
      <c r="B982" s="37" t="s">
        <v>826</v>
      </c>
      <c r="C982" s="20" t="s">
        <v>934</v>
      </c>
      <c r="D982" s="218" t="s">
        <v>827</v>
      </c>
      <c r="E982" s="203" t="s">
        <v>2762</v>
      </c>
      <c r="F982" s="108">
        <f t="shared" si="173"/>
        <v>1913.01147</v>
      </c>
      <c r="G982" s="106">
        <f t="shared" si="174"/>
        <v>37.95099</v>
      </c>
      <c r="H982" s="106">
        <f t="shared" si="175"/>
        <v>1875.0604799999999</v>
      </c>
      <c r="I982" s="107"/>
      <c r="J982" s="107"/>
      <c r="K982" s="107"/>
      <c r="L982" s="107"/>
      <c r="M982" s="107"/>
      <c r="N982" s="107"/>
      <c r="O982" s="106">
        <v>37.95099</v>
      </c>
      <c r="P982" s="106">
        <v>1.99743</v>
      </c>
      <c r="Q982" s="106"/>
      <c r="R982" s="106"/>
      <c r="S982" s="106"/>
      <c r="T982" s="106"/>
      <c r="U982" s="106"/>
      <c r="V982" s="106"/>
      <c r="W982" s="106"/>
      <c r="X982" s="106"/>
      <c r="Y982" s="107"/>
      <c r="Z982" s="107"/>
      <c r="AA982" s="106"/>
      <c r="AB982" s="106"/>
      <c r="AC982" s="107"/>
      <c r="AD982" s="107"/>
      <c r="AE982" s="107"/>
      <c r="AF982" s="107"/>
      <c r="AG982" s="107"/>
      <c r="AH982" s="107"/>
      <c r="AI982" s="107"/>
      <c r="AJ982" s="108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7"/>
      <c r="AV982" s="107"/>
      <c r="AW982" s="107"/>
      <c r="AX982" s="107"/>
      <c r="AY982" s="106"/>
      <c r="AZ982" s="107"/>
      <c r="BA982" s="107"/>
      <c r="BB982" s="107"/>
      <c r="BC982" s="107"/>
      <c r="BD982" s="107"/>
      <c r="BE982" s="107"/>
      <c r="BF982" s="107"/>
      <c r="BG982" s="107"/>
      <c r="BH982" s="107"/>
      <c r="BI982" s="107"/>
      <c r="BJ982" s="107">
        <v>1873.06305</v>
      </c>
      <c r="BK982" s="107"/>
      <c r="BL982" s="107"/>
      <c r="BM982" s="107"/>
      <c r="BN982" s="107"/>
      <c r="BO982" s="107"/>
      <c r="BP982" s="107"/>
      <c r="BQ982" s="109"/>
      <c r="BR982" s="109"/>
      <c r="BS982" s="109"/>
      <c r="BT982" s="109"/>
      <c r="BU982" s="138"/>
    </row>
    <row r="983" spans="1:73" ht="33.75" customHeight="1" outlineLevel="2">
      <c r="A983" s="24" t="s">
        <v>1175</v>
      </c>
      <c r="B983" s="19" t="s">
        <v>1737</v>
      </c>
      <c r="C983" s="20" t="s">
        <v>934</v>
      </c>
      <c r="D983" s="218" t="s">
        <v>1738</v>
      </c>
      <c r="E983" s="203" t="s">
        <v>2763</v>
      </c>
      <c r="F983" s="108">
        <f t="shared" si="173"/>
        <v>247.58938</v>
      </c>
      <c r="G983" s="106">
        <f t="shared" si="174"/>
        <v>0</v>
      </c>
      <c r="H983" s="106">
        <f t="shared" si="175"/>
        <v>247.58938</v>
      </c>
      <c r="I983" s="107"/>
      <c r="J983" s="107"/>
      <c r="K983" s="107"/>
      <c r="L983" s="107"/>
      <c r="M983" s="107"/>
      <c r="N983" s="107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7"/>
      <c r="Z983" s="107"/>
      <c r="AA983" s="106"/>
      <c r="AB983" s="106"/>
      <c r="AC983" s="107"/>
      <c r="AD983" s="107"/>
      <c r="AE983" s="107"/>
      <c r="AF983" s="107"/>
      <c r="AG983" s="107"/>
      <c r="AH983" s="107"/>
      <c r="AI983" s="107"/>
      <c r="AJ983" s="108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7"/>
      <c r="AV983" s="107"/>
      <c r="AW983" s="107"/>
      <c r="AX983" s="107"/>
      <c r="AY983" s="106"/>
      <c r="AZ983" s="107"/>
      <c r="BA983" s="107"/>
      <c r="BB983" s="107"/>
      <c r="BC983" s="107"/>
      <c r="BD983" s="107"/>
      <c r="BE983" s="107"/>
      <c r="BF983" s="107"/>
      <c r="BG983" s="107"/>
      <c r="BH983" s="107"/>
      <c r="BI983" s="107"/>
      <c r="BJ983" s="107">
        <v>247.58938</v>
      </c>
      <c r="BK983" s="107"/>
      <c r="BL983" s="107"/>
      <c r="BM983" s="107"/>
      <c r="BN983" s="107"/>
      <c r="BO983" s="107"/>
      <c r="BP983" s="107"/>
      <c r="BQ983" s="109"/>
      <c r="BR983" s="109"/>
      <c r="BS983" s="109"/>
      <c r="BT983" s="109"/>
      <c r="BU983" s="138"/>
    </row>
    <row r="984" spans="1:73" ht="39" customHeight="1" outlineLevel="2" thickBot="1">
      <c r="A984" s="24" t="s">
        <v>1175</v>
      </c>
      <c r="B984" s="37" t="s">
        <v>1822</v>
      </c>
      <c r="C984" s="20" t="s">
        <v>1338</v>
      </c>
      <c r="D984" s="218" t="s">
        <v>79</v>
      </c>
      <c r="E984" s="203" t="s">
        <v>2764</v>
      </c>
      <c r="F984" s="108">
        <f t="shared" si="173"/>
        <v>35460.83364</v>
      </c>
      <c r="G984" s="106">
        <f t="shared" si="174"/>
        <v>13028.70515</v>
      </c>
      <c r="H984" s="106">
        <f t="shared" si="175"/>
        <v>22432.12849</v>
      </c>
      <c r="I984" s="107"/>
      <c r="J984" s="107"/>
      <c r="K984" s="107"/>
      <c r="L984" s="107"/>
      <c r="M984" s="107">
        <v>7040.74922</v>
      </c>
      <c r="N984" s="107"/>
      <c r="O984" s="106"/>
      <c r="P984" s="106"/>
      <c r="Q984" s="106"/>
      <c r="R984" s="106"/>
      <c r="S984" s="106"/>
      <c r="T984" s="106"/>
      <c r="U984" s="106">
        <v>13028.70515</v>
      </c>
      <c r="V984" s="106">
        <v>4032.51045</v>
      </c>
      <c r="W984" s="106"/>
      <c r="X984" s="106"/>
      <c r="Y984" s="107"/>
      <c r="Z984" s="107"/>
      <c r="AA984" s="106"/>
      <c r="AB984" s="106"/>
      <c r="AC984" s="107"/>
      <c r="AD984" s="107"/>
      <c r="AE984" s="107"/>
      <c r="AF984" s="107"/>
      <c r="AG984" s="107"/>
      <c r="AH984" s="107"/>
      <c r="AI984" s="107"/>
      <c r="AJ984" s="108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7"/>
      <c r="AV984" s="107"/>
      <c r="AW984" s="107"/>
      <c r="AX984" s="107"/>
      <c r="AY984" s="106"/>
      <c r="AZ984" s="107"/>
      <c r="BA984" s="107">
        <f>6319.16098+5039.70784</f>
        <v>11358.86882</v>
      </c>
      <c r="BB984" s="107"/>
      <c r="BC984" s="107"/>
      <c r="BD984" s="107"/>
      <c r="BE984" s="107"/>
      <c r="BF984" s="107"/>
      <c r="BG984" s="107"/>
      <c r="BH984" s="107"/>
      <c r="BI984" s="107"/>
      <c r="BJ984" s="107"/>
      <c r="BK984" s="107"/>
      <c r="BL984" s="107"/>
      <c r="BM984" s="107"/>
      <c r="BN984" s="107"/>
      <c r="BO984" s="107"/>
      <c r="BP984" s="107"/>
      <c r="BQ984" s="109"/>
      <c r="BR984" s="109"/>
      <c r="BS984" s="109"/>
      <c r="BT984" s="109"/>
      <c r="BU984" s="138"/>
    </row>
    <row r="985" spans="1:73" s="32" customFormat="1" ht="21" outlineLevel="1" thickBot="1">
      <c r="A985" s="43" t="s">
        <v>477</v>
      </c>
      <c r="B985" s="41"/>
      <c r="C985" s="30" t="s">
        <v>1572</v>
      </c>
      <c r="D985" s="222"/>
      <c r="E985" s="223"/>
      <c r="F985" s="117">
        <f aca="true" t="shared" si="176" ref="F985:AV985">SUBTOTAL(9,F962:F984)</f>
        <v>114823.97504</v>
      </c>
      <c r="G985" s="117">
        <f t="shared" si="176"/>
        <v>41912.73312</v>
      </c>
      <c r="H985" s="117">
        <f t="shared" si="176"/>
        <v>72911.24191999999</v>
      </c>
      <c r="I985" s="117">
        <f t="shared" si="176"/>
        <v>2426.47937</v>
      </c>
      <c r="J985" s="117">
        <f t="shared" si="176"/>
        <v>606.61978</v>
      </c>
      <c r="K985" s="117">
        <f t="shared" si="176"/>
        <v>3627.0513199999996</v>
      </c>
      <c r="L985" s="117">
        <f t="shared" si="176"/>
        <v>835.66893</v>
      </c>
      <c r="M985" s="117">
        <f t="shared" si="176"/>
        <v>13898.23367</v>
      </c>
      <c r="N985" s="117">
        <f t="shared" si="176"/>
        <v>0</v>
      </c>
      <c r="O985" s="117">
        <f t="shared" si="176"/>
        <v>308.22609</v>
      </c>
      <c r="P985" s="117">
        <f t="shared" si="176"/>
        <v>22.734450000000002</v>
      </c>
      <c r="Q985" s="117">
        <f t="shared" si="176"/>
        <v>187.84742</v>
      </c>
      <c r="R985" s="117">
        <f t="shared" si="176"/>
        <v>0</v>
      </c>
      <c r="S985" s="117">
        <f t="shared" si="176"/>
        <v>723.6493</v>
      </c>
      <c r="T985" s="117">
        <f t="shared" si="176"/>
        <v>223.62122</v>
      </c>
      <c r="U985" s="117">
        <f t="shared" si="176"/>
        <v>14761.51215</v>
      </c>
      <c r="V985" s="117">
        <f t="shared" si="176"/>
        <v>4120.1186800000005</v>
      </c>
      <c r="W985" s="117">
        <f t="shared" si="176"/>
        <v>3628.6246</v>
      </c>
      <c r="X985" s="117">
        <f t="shared" si="176"/>
        <v>1894.3961100000001</v>
      </c>
      <c r="Y985" s="117">
        <f t="shared" si="176"/>
        <v>418.47245</v>
      </c>
      <c r="Z985" s="117">
        <f t="shared" si="176"/>
        <v>1646.89</v>
      </c>
      <c r="AA985" s="117">
        <f t="shared" si="176"/>
        <v>1323.89458</v>
      </c>
      <c r="AB985" s="117">
        <f t="shared" si="176"/>
        <v>866.3717200000001</v>
      </c>
      <c r="AC985" s="117">
        <f t="shared" si="176"/>
        <v>0</v>
      </c>
      <c r="AD985" s="117">
        <f t="shared" si="176"/>
        <v>0</v>
      </c>
      <c r="AE985" s="117">
        <f t="shared" si="176"/>
        <v>0</v>
      </c>
      <c r="AF985" s="117">
        <f t="shared" si="176"/>
        <v>0</v>
      </c>
      <c r="AG985" s="117">
        <f t="shared" si="176"/>
        <v>68.2605</v>
      </c>
      <c r="AH985" s="117">
        <f t="shared" si="176"/>
        <v>0</v>
      </c>
      <c r="AI985" s="117">
        <f t="shared" si="176"/>
        <v>0</v>
      </c>
      <c r="AJ985" s="117">
        <f>SUBTOTAL(9,AJ962:AJ984)</f>
        <v>4749.7049099999995</v>
      </c>
      <c r="AK985" s="117">
        <f t="shared" si="176"/>
        <v>310.1963</v>
      </c>
      <c r="AL985" s="117">
        <f t="shared" si="176"/>
        <v>0</v>
      </c>
      <c r="AM985" s="117">
        <f t="shared" si="176"/>
        <v>0</v>
      </c>
      <c r="AN985" s="117">
        <f t="shared" si="176"/>
        <v>0</v>
      </c>
      <c r="AO985" s="117">
        <f t="shared" si="176"/>
        <v>4757.2129</v>
      </c>
      <c r="AP985" s="117">
        <f t="shared" si="176"/>
        <v>994.24</v>
      </c>
      <c r="AQ985" s="117">
        <f t="shared" si="176"/>
        <v>0</v>
      </c>
      <c r="AR985" s="117">
        <f t="shared" si="176"/>
        <v>0</v>
      </c>
      <c r="AS985" s="117">
        <f t="shared" si="176"/>
        <v>0</v>
      </c>
      <c r="AT985" s="117">
        <f t="shared" si="176"/>
        <v>0</v>
      </c>
      <c r="AU985" s="117">
        <f t="shared" si="176"/>
        <v>0</v>
      </c>
      <c r="AV985" s="117">
        <f t="shared" si="176"/>
        <v>141.44</v>
      </c>
      <c r="AW985" s="117">
        <f aca="true" t="shared" si="177" ref="AW985:BU985">SUBTOTAL(9,AW962:AW984)</f>
        <v>0</v>
      </c>
      <c r="AX985" s="117">
        <f t="shared" si="177"/>
        <v>722.16</v>
      </c>
      <c r="AY985" s="117">
        <f t="shared" si="177"/>
        <v>2574.34954</v>
      </c>
      <c r="AZ985" s="117">
        <f t="shared" si="177"/>
        <v>0</v>
      </c>
      <c r="BA985" s="117">
        <f t="shared" si="177"/>
        <v>22683.36579</v>
      </c>
      <c r="BB985" s="117">
        <f t="shared" si="177"/>
        <v>0</v>
      </c>
      <c r="BC985" s="117">
        <f t="shared" si="177"/>
        <v>7715.450359999999</v>
      </c>
      <c r="BD985" s="117">
        <f t="shared" si="177"/>
        <v>7569.18251</v>
      </c>
      <c r="BE985" s="117">
        <f t="shared" si="177"/>
        <v>965.00002</v>
      </c>
      <c r="BF985" s="117">
        <f t="shared" si="177"/>
        <v>0</v>
      </c>
      <c r="BG985" s="117">
        <f t="shared" si="177"/>
        <v>0</v>
      </c>
      <c r="BH985" s="117">
        <f t="shared" si="177"/>
        <v>0</v>
      </c>
      <c r="BI985" s="117">
        <f t="shared" si="177"/>
        <v>0</v>
      </c>
      <c r="BJ985" s="117">
        <f t="shared" si="177"/>
        <v>8228.523369999999</v>
      </c>
      <c r="BK985" s="117"/>
      <c r="BL985" s="117">
        <f t="shared" si="177"/>
        <v>0</v>
      </c>
      <c r="BM985" s="117">
        <f t="shared" si="177"/>
        <v>324.477</v>
      </c>
      <c r="BN985" s="117">
        <f t="shared" si="177"/>
        <v>0</v>
      </c>
      <c r="BO985" s="117">
        <f t="shared" si="177"/>
        <v>0</v>
      </c>
      <c r="BP985" s="117">
        <f t="shared" si="177"/>
        <v>0</v>
      </c>
      <c r="BQ985" s="117">
        <f t="shared" si="177"/>
        <v>0</v>
      </c>
      <c r="BR985" s="117">
        <f t="shared" si="177"/>
        <v>1500</v>
      </c>
      <c r="BS985" s="117">
        <f t="shared" si="177"/>
        <v>0</v>
      </c>
      <c r="BT985" s="117">
        <f t="shared" si="177"/>
        <v>0</v>
      </c>
      <c r="BU985" s="117">
        <f t="shared" si="177"/>
        <v>0</v>
      </c>
    </row>
    <row r="986" spans="1:73" ht="45" customHeight="1" outlineLevel="2" thickBot="1">
      <c r="A986" s="45" t="s">
        <v>1843</v>
      </c>
      <c r="B986" s="37" t="s">
        <v>1491</v>
      </c>
      <c r="C986" s="20" t="s">
        <v>710</v>
      </c>
      <c r="D986" s="218" t="s">
        <v>842</v>
      </c>
      <c r="E986" s="203" t="s">
        <v>2769</v>
      </c>
      <c r="F986" s="108">
        <f t="shared" si="173"/>
        <v>529.2</v>
      </c>
      <c r="G986" s="106">
        <f>I986+K986+O986+S986+U986+W986+Y986+AA986+AC986+AE986+AR986+AX986+BC986+BG986+BP986+BR986+BT986+AO986</f>
        <v>0</v>
      </c>
      <c r="H986" s="106">
        <f>J986+L986+M986+N986+P986+Q986+R986+T986+V986+X986+Z986+AB986+AD986+AF986+AG986+AJ986+AL986+AS986+AT986+AU986+AV986+AW986+AY986+AZ986+BA986+BB986+BD986+BE986+BF986+BH986+BI986+BJ986+BL986+BM986+BN986+BO986+BQ986+BS986+BU986+AH986+AI986+AK986+AM986+AN986+AP986+AQ986+BK986</f>
        <v>529.2</v>
      </c>
      <c r="I986" s="107"/>
      <c r="J986" s="107"/>
      <c r="K986" s="107"/>
      <c r="L986" s="107"/>
      <c r="M986" s="107"/>
      <c r="N986" s="107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7"/>
      <c r="Z986" s="107"/>
      <c r="AA986" s="106"/>
      <c r="AB986" s="106"/>
      <c r="AC986" s="107"/>
      <c r="AD986" s="107"/>
      <c r="AE986" s="107"/>
      <c r="AF986" s="107"/>
      <c r="AG986" s="107"/>
      <c r="AH986" s="107"/>
      <c r="AI986" s="107"/>
      <c r="AJ986" s="108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7"/>
      <c r="AV986" s="107"/>
      <c r="AW986" s="107"/>
      <c r="AX986" s="107"/>
      <c r="AY986" s="106"/>
      <c r="AZ986" s="107">
        <v>529.2</v>
      </c>
      <c r="BA986" s="107"/>
      <c r="BB986" s="107"/>
      <c r="BC986" s="107"/>
      <c r="BD986" s="107"/>
      <c r="BE986" s="107"/>
      <c r="BF986" s="107"/>
      <c r="BG986" s="107"/>
      <c r="BH986" s="107"/>
      <c r="BI986" s="107"/>
      <c r="BJ986" s="107"/>
      <c r="BK986" s="107"/>
      <c r="BL986" s="107"/>
      <c r="BM986" s="107"/>
      <c r="BN986" s="107"/>
      <c r="BO986" s="107"/>
      <c r="BP986" s="107"/>
      <c r="BQ986" s="109"/>
      <c r="BR986" s="109"/>
      <c r="BS986" s="109"/>
      <c r="BT986" s="109"/>
      <c r="BU986" s="138"/>
    </row>
    <row r="987" spans="1:73" s="32" customFormat="1" ht="46.5" customHeight="1" outlineLevel="1" thickBot="1">
      <c r="A987" s="279" t="s">
        <v>2836</v>
      </c>
      <c r="B987" s="41"/>
      <c r="C987" s="30" t="s">
        <v>1572</v>
      </c>
      <c r="D987" s="222"/>
      <c r="E987" s="223"/>
      <c r="F987" s="117">
        <f aca="true" t="shared" si="178" ref="F987:AV987">SUBTOTAL(9,F986:F986)</f>
        <v>529.2</v>
      </c>
      <c r="G987" s="117">
        <f t="shared" si="178"/>
        <v>0</v>
      </c>
      <c r="H987" s="117">
        <f t="shared" si="178"/>
        <v>529.2</v>
      </c>
      <c r="I987" s="117">
        <f t="shared" si="178"/>
        <v>0</v>
      </c>
      <c r="J987" s="117">
        <f t="shared" si="178"/>
        <v>0</v>
      </c>
      <c r="K987" s="117">
        <f t="shared" si="178"/>
        <v>0</v>
      </c>
      <c r="L987" s="117">
        <f t="shared" si="178"/>
        <v>0</v>
      </c>
      <c r="M987" s="117">
        <f t="shared" si="178"/>
        <v>0</v>
      </c>
      <c r="N987" s="117">
        <f t="shared" si="178"/>
        <v>0</v>
      </c>
      <c r="O987" s="117">
        <f t="shared" si="178"/>
        <v>0</v>
      </c>
      <c r="P987" s="117">
        <f t="shared" si="178"/>
        <v>0</v>
      </c>
      <c r="Q987" s="117">
        <f t="shared" si="178"/>
        <v>0</v>
      </c>
      <c r="R987" s="117">
        <f t="shared" si="178"/>
        <v>0</v>
      </c>
      <c r="S987" s="117">
        <f t="shared" si="178"/>
        <v>0</v>
      </c>
      <c r="T987" s="117">
        <f t="shared" si="178"/>
        <v>0</v>
      </c>
      <c r="U987" s="117">
        <f t="shared" si="178"/>
        <v>0</v>
      </c>
      <c r="V987" s="117">
        <f t="shared" si="178"/>
        <v>0</v>
      </c>
      <c r="W987" s="117">
        <f t="shared" si="178"/>
        <v>0</v>
      </c>
      <c r="X987" s="117">
        <f t="shared" si="178"/>
        <v>0</v>
      </c>
      <c r="Y987" s="117">
        <f t="shared" si="178"/>
        <v>0</v>
      </c>
      <c r="Z987" s="117">
        <f t="shared" si="178"/>
        <v>0</v>
      </c>
      <c r="AA987" s="117">
        <f t="shared" si="178"/>
        <v>0</v>
      </c>
      <c r="AB987" s="117">
        <f t="shared" si="178"/>
        <v>0</v>
      </c>
      <c r="AC987" s="117">
        <f t="shared" si="178"/>
        <v>0</v>
      </c>
      <c r="AD987" s="117">
        <f t="shared" si="178"/>
        <v>0</v>
      </c>
      <c r="AE987" s="117">
        <f t="shared" si="178"/>
        <v>0</v>
      </c>
      <c r="AF987" s="117">
        <f t="shared" si="178"/>
        <v>0</v>
      </c>
      <c r="AG987" s="117">
        <f t="shared" si="178"/>
        <v>0</v>
      </c>
      <c r="AH987" s="117"/>
      <c r="AI987" s="117"/>
      <c r="AJ987" s="117">
        <f t="shared" si="178"/>
        <v>0</v>
      </c>
      <c r="AK987" s="117"/>
      <c r="AL987" s="117">
        <f t="shared" si="178"/>
        <v>0</v>
      </c>
      <c r="AM987" s="117">
        <f t="shared" si="178"/>
        <v>0</v>
      </c>
      <c r="AN987" s="117">
        <f t="shared" si="178"/>
        <v>0</v>
      </c>
      <c r="AO987" s="117">
        <f t="shared" si="178"/>
        <v>0</v>
      </c>
      <c r="AP987" s="117">
        <f t="shared" si="178"/>
        <v>0</v>
      </c>
      <c r="AQ987" s="117">
        <f t="shared" si="178"/>
        <v>0</v>
      </c>
      <c r="AR987" s="117">
        <f t="shared" si="178"/>
        <v>0</v>
      </c>
      <c r="AS987" s="117">
        <f t="shared" si="178"/>
        <v>0</v>
      </c>
      <c r="AT987" s="117">
        <f t="shared" si="178"/>
        <v>0</v>
      </c>
      <c r="AU987" s="117">
        <f t="shared" si="178"/>
        <v>0</v>
      </c>
      <c r="AV987" s="117">
        <f t="shared" si="178"/>
        <v>0</v>
      </c>
      <c r="AW987" s="117">
        <f aca="true" t="shared" si="179" ref="AW987:BU987">SUBTOTAL(9,AW986:AW986)</f>
        <v>0</v>
      </c>
      <c r="AX987" s="117">
        <f t="shared" si="179"/>
        <v>0</v>
      </c>
      <c r="AY987" s="117">
        <f t="shared" si="179"/>
        <v>0</v>
      </c>
      <c r="AZ987" s="117">
        <f t="shared" si="179"/>
        <v>529.2</v>
      </c>
      <c r="BA987" s="117">
        <f t="shared" si="179"/>
        <v>0</v>
      </c>
      <c r="BB987" s="117">
        <f t="shared" si="179"/>
        <v>0</v>
      </c>
      <c r="BC987" s="117">
        <f t="shared" si="179"/>
        <v>0</v>
      </c>
      <c r="BD987" s="117">
        <f t="shared" si="179"/>
        <v>0</v>
      </c>
      <c r="BE987" s="117">
        <f t="shared" si="179"/>
        <v>0</v>
      </c>
      <c r="BF987" s="117">
        <f t="shared" si="179"/>
        <v>0</v>
      </c>
      <c r="BG987" s="117">
        <f t="shared" si="179"/>
        <v>0</v>
      </c>
      <c r="BH987" s="117">
        <f t="shared" si="179"/>
        <v>0</v>
      </c>
      <c r="BI987" s="117">
        <f t="shared" si="179"/>
        <v>0</v>
      </c>
      <c r="BJ987" s="117">
        <f t="shared" si="179"/>
        <v>0</v>
      </c>
      <c r="BK987" s="117"/>
      <c r="BL987" s="117">
        <f t="shared" si="179"/>
        <v>0</v>
      </c>
      <c r="BM987" s="117">
        <f t="shared" si="179"/>
        <v>0</v>
      </c>
      <c r="BN987" s="117">
        <f t="shared" si="179"/>
        <v>0</v>
      </c>
      <c r="BO987" s="117">
        <f t="shared" si="179"/>
        <v>0</v>
      </c>
      <c r="BP987" s="117">
        <f t="shared" si="179"/>
        <v>0</v>
      </c>
      <c r="BQ987" s="117">
        <f t="shared" si="179"/>
        <v>0</v>
      </c>
      <c r="BR987" s="117">
        <f t="shared" si="179"/>
        <v>0</v>
      </c>
      <c r="BS987" s="117">
        <f t="shared" si="179"/>
        <v>0</v>
      </c>
      <c r="BT987" s="117">
        <f t="shared" si="179"/>
        <v>0</v>
      </c>
      <c r="BU987" s="117">
        <f t="shared" si="179"/>
        <v>0</v>
      </c>
    </row>
    <row r="988" spans="1:73" ht="39" customHeight="1" outlineLevel="2">
      <c r="A988" s="2" t="s">
        <v>680</v>
      </c>
      <c r="B988" s="33" t="s">
        <v>709</v>
      </c>
      <c r="C988" s="4" t="s">
        <v>1338</v>
      </c>
      <c r="D988" s="230" t="s">
        <v>2766</v>
      </c>
      <c r="E988" s="203" t="s">
        <v>2765</v>
      </c>
      <c r="F988" s="108">
        <f t="shared" si="173"/>
        <v>377.12541</v>
      </c>
      <c r="G988" s="106">
        <f>I988+K988+O988+S988+U988+W988+Y988+AA988+AC988+AE988+AR988+AX988+BC988+BG988+BP988+BR988+BT988+AO988</f>
        <v>0</v>
      </c>
      <c r="H988" s="106">
        <f>J988+L988+M988+N988+P988+Q988+R988+T988+V988+X988+Z988+AB988+AD988+AF988+AG988+AJ988+AL988+AS988+AT988+AU988+AV988+AW988+AY988+AZ988+BA988+BB988+BD988+BE988+BF988+BH988+BI988+BJ988+BL988+BM988+BN988+BO988+BQ988+BS988+BU988+AH988+AI988+AK988+AM988+AN988+AP988+AQ988+BK988</f>
        <v>377.12541</v>
      </c>
      <c r="I988" s="119"/>
      <c r="J988" s="119"/>
      <c r="K988" s="119"/>
      <c r="L988" s="119"/>
      <c r="M988" s="119"/>
      <c r="N988" s="119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19"/>
      <c r="Z988" s="119"/>
      <c r="AA988" s="120"/>
      <c r="AB988" s="120"/>
      <c r="AC988" s="119"/>
      <c r="AD988" s="119"/>
      <c r="AE988" s="119"/>
      <c r="AF988" s="119"/>
      <c r="AG988" s="119"/>
      <c r="AH988" s="119"/>
      <c r="AI988" s="119"/>
      <c r="AJ988" s="108"/>
      <c r="AK988" s="119"/>
      <c r="AL988" s="119"/>
      <c r="AM988" s="119"/>
      <c r="AN988" s="136"/>
      <c r="AO988" s="119"/>
      <c r="AP988" s="119"/>
      <c r="AQ988" s="119"/>
      <c r="AR988" s="119"/>
      <c r="AS988" s="119"/>
      <c r="AT988" s="119"/>
      <c r="AU988" s="119"/>
      <c r="AV988" s="119"/>
      <c r="AW988" s="119"/>
      <c r="AX988" s="119"/>
      <c r="AY988" s="120"/>
      <c r="AZ988" s="119"/>
      <c r="BA988" s="119"/>
      <c r="BB988" s="119"/>
      <c r="BC988" s="119"/>
      <c r="BD988" s="119"/>
      <c r="BE988" s="119"/>
      <c r="BF988" s="119"/>
      <c r="BG988" s="119"/>
      <c r="BH988" s="119"/>
      <c r="BI988" s="119"/>
      <c r="BJ988" s="119">
        <v>377.12541</v>
      </c>
      <c r="BK988" s="119"/>
      <c r="BL988" s="119"/>
      <c r="BM988" s="119"/>
      <c r="BN988" s="119"/>
      <c r="BO988" s="119"/>
      <c r="BP988" s="119"/>
      <c r="BQ988" s="121"/>
      <c r="BR988" s="121"/>
      <c r="BS988" s="121"/>
      <c r="BT988" s="121"/>
      <c r="BU988" s="140"/>
    </row>
    <row r="989" spans="1:73" ht="60.75" outlineLevel="2">
      <c r="A989" s="35" t="s">
        <v>680</v>
      </c>
      <c r="B989" s="37" t="s">
        <v>1719</v>
      </c>
      <c r="C989" s="20" t="s">
        <v>1338</v>
      </c>
      <c r="D989" s="218" t="s">
        <v>2768</v>
      </c>
      <c r="E989" s="203" t="s">
        <v>2767</v>
      </c>
      <c r="F989" s="108">
        <f t="shared" si="173"/>
        <v>150.91782</v>
      </c>
      <c r="G989" s="106">
        <f>I989+K989+O989+S989+U989+W989+Y989+AA989+AC989+AE989+AR989+AX989+BC989+BG989+BP989+BR989+BT989+AO989</f>
        <v>0</v>
      </c>
      <c r="H989" s="106">
        <f>J989+L989+M989+N989+P989+Q989+R989+T989+V989+X989+Z989+AB989+AD989+AF989+AG989+AJ989+AL989+AS989+AT989+AU989+AV989+AW989+AY989+AZ989+BA989+BB989+BD989+BE989+BF989+BH989+BI989+BJ989+BL989+BM989+BN989+BO989+BQ989+BS989+BU989+AH989+AI989+AK989+AM989+AN989+AP989+AQ989+BK989</f>
        <v>150.91782</v>
      </c>
      <c r="I989" s="107"/>
      <c r="J989" s="107"/>
      <c r="K989" s="107"/>
      <c r="L989" s="107"/>
      <c r="M989" s="107"/>
      <c r="N989" s="107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7"/>
      <c r="Z989" s="107"/>
      <c r="AA989" s="106"/>
      <c r="AB989" s="106"/>
      <c r="AC989" s="107"/>
      <c r="AD989" s="107"/>
      <c r="AE989" s="107"/>
      <c r="AF989" s="107"/>
      <c r="AG989" s="107"/>
      <c r="AH989" s="107"/>
      <c r="AI989" s="107"/>
      <c r="AJ989" s="108"/>
      <c r="AK989" s="107"/>
      <c r="AL989" s="107"/>
      <c r="AM989" s="107"/>
      <c r="AN989" s="137"/>
      <c r="AO989" s="107"/>
      <c r="AP989" s="107"/>
      <c r="AQ989" s="107"/>
      <c r="AR989" s="107"/>
      <c r="AS989" s="107"/>
      <c r="AT989" s="107"/>
      <c r="AU989" s="107"/>
      <c r="AV989" s="107"/>
      <c r="AW989" s="107"/>
      <c r="AX989" s="107"/>
      <c r="AY989" s="106"/>
      <c r="AZ989" s="107"/>
      <c r="BA989" s="107">
        <f>109.49576+41.42206</f>
        <v>150.91782</v>
      </c>
      <c r="BB989" s="107"/>
      <c r="BC989" s="107"/>
      <c r="BD989" s="107"/>
      <c r="BE989" s="107"/>
      <c r="BF989" s="107"/>
      <c r="BG989" s="107"/>
      <c r="BH989" s="107"/>
      <c r="BI989" s="107"/>
      <c r="BJ989" s="107"/>
      <c r="BK989" s="107"/>
      <c r="BL989" s="107"/>
      <c r="BM989" s="107"/>
      <c r="BN989" s="107"/>
      <c r="BO989" s="107"/>
      <c r="BP989" s="107"/>
      <c r="BQ989" s="109"/>
      <c r="BR989" s="109"/>
      <c r="BS989" s="109"/>
      <c r="BT989" s="109"/>
      <c r="BU989" s="138"/>
    </row>
    <row r="990" spans="1:73" ht="61.5" outlineLevel="2" thickBot="1">
      <c r="A990" s="35" t="s">
        <v>680</v>
      </c>
      <c r="B990" s="37" t="s">
        <v>528</v>
      </c>
      <c r="C990" s="20" t="s">
        <v>1037</v>
      </c>
      <c r="D990" s="218" t="s">
        <v>398</v>
      </c>
      <c r="E990" s="246" t="s">
        <v>2835</v>
      </c>
      <c r="F990" s="108">
        <f t="shared" si="173"/>
        <v>1480.5</v>
      </c>
      <c r="G990" s="106">
        <f>I990+K990+O990+S990+U990+W990+Y990+AA990+AC990+AE990+AR990+AX990+BC990+BG990+BP990+BR990+BT990+AO990</f>
        <v>0</v>
      </c>
      <c r="H990" s="106">
        <f>J990+L990+M990+N990+P990+Q990+R990+T990+V990+X990+Z990+AB990+AD990+AF990+AG990+AJ990+AL990+AS990+AT990+AU990+AV990+AW990+AY990+AZ990+BA990+BB990+BD990+BE990+BF990+BH990+BI990+BJ990+BL990+BM990+BN990+BO990+BQ990+BS990+BU990+AH990+AI990+AK990+AM990+AN990+AP990+AQ990+BK990</f>
        <v>1480.5</v>
      </c>
      <c r="I990" s="107"/>
      <c r="J990" s="107"/>
      <c r="K990" s="107"/>
      <c r="L990" s="107"/>
      <c r="M990" s="107"/>
      <c r="N990" s="107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7"/>
      <c r="Z990" s="107"/>
      <c r="AA990" s="106"/>
      <c r="AB990" s="106"/>
      <c r="AC990" s="107"/>
      <c r="AD990" s="107"/>
      <c r="AE990" s="107"/>
      <c r="AF990" s="107"/>
      <c r="AG990" s="107"/>
      <c r="AH990" s="107"/>
      <c r="AI990" s="107">
        <v>1480.5</v>
      </c>
      <c r="AJ990" s="108"/>
      <c r="AK990" s="107"/>
      <c r="AL990" s="107"/>
      <c r="AM990" s="107"/>
      <c r="AN990" s="137"/>
      <c r="AO990" s="107"/>
      <c r="AP990" s="107"/>
      <c r="AQ990" s="107"/>
      <c r="AR990" s="107"/>
      <c r="AS990" s="107"/>
      <c r="AT990" s="107"/>
      <c r="AU990" s="107"/>
      <c r="AV990" s="107"/>
      <c r="AW990" s="107"/>
      <c r="AX990" s="107"/>
      <c r="AY990" s="106"/>
      <c r="AZ990" s="107"/>
      <c r="BA990" s="107"/>
      <c r="BB990" s="107"/>
      <c r="BC990" s="107"/>
      <c r="BD990" s="107"/>
      <c r="BE990" s="107"/>
      <c r="BF990" s="107"/>
      <c r="BG990" s="107"/>
      <c r="BH990" s="107"/>
      <c r="BI990" s="107"/>
      <c r="BJ990" s="107"/>
      <c r="BK990" s="107"/>
      <c r="BL990" s="107"/>
      <c r="BM990" s="107"/>
      <c r="BN990" s="107"/>
      <c r="BO990" s="107"/>
      <c r="BP990" s="107"/>
      <c r="BQ990" s="109"/>
      <c r="BR990" s="109"/>
      <c r="BS990" s="109"/>
      <c r="BT990" s="109"/>
      <c r="BU990" s="138"/>
    </row>
    <row r="991" spans="1:73" s="32" customFormat="1" ht="21" outlineLevel="1" thickBot="1">
      <c r="A991" s="40" t="s">
        <v>1435</v>
      </c>
      <c r="B991" s="41"/>
      <c r="C991" s="30" t="s">
        <v>1572</v>
      </c>
      <c r="D991" s="197"/>
      <c r="E991" s="31"/>
      <c r="F991" s="117">
        <f aca="true" t="shared" si="180" ref="F991:AV991">SUBTOTAL(9,F988:F990)</f>
        <v>2008.54323</v>
      </c>
      <c r="G991" s="117">
        <f t="shared" si="180"/>
        <v>0</v>
      </c>
      <c r="H991" s="117">
        <f t="shared" si="180"/>
        <v>2008.54323</v>
      </c>
      <c r="I991" s="117">
        <f t="shared" si="180"/>
        <v>0</v>
      </c>
      <c r="J991" s="117">
        <f t="shared" si="180"/>
        <v>0</v>
      </c>
      <c r="K991" s="117">
        <f t="shared" si="180"/>
        <v>0</v>
      </c>
      <c r="L991" s="117">
        <f t="shared" si="180"/>
        <v>0</v>
      </c>
      <c r="M991" s="117">
        <f t="shared" si="180"/>
        <v>0</v>
      </c>
      <c r="N991" s="117">
        <f t="shared" si="180"/>
        <v>0</v>
      </c>
      <c r="O991" s="117">
        <f t="shared" si="180"/>
        <v>0</v>
      </c>
      <c r="P991" s="117">
        <f t="shared" si="180"/>
        <v>0</v>
      </c>
      <c r="Q991" s="117">
        <f t="shared" si="180"/>
        <v>0</v>
      </c>
      <c r="R991" s="117">
        <f t="shared" si="180"/>
        <v>0</v>
      </c>
      <c r="S991" s="117">
        <f t="shared" si="180"/>
        <v>0</v>
      </c>
      <c r="T991" s="117">
        <f t="shared" si="180"/>
        <v>0</v>
      </c>
      <c r="U991" s="117">
        <f t="shared" si="180"/>
        <v>0</v>
      </c>
      <c r="V991" s="117">
        <f t="shared" si="180"/>
        <v>0</v>
      </c>
      <c r="W991" s="117">
        <f t="shared" si="180"/>
        <v>0</v>
      </c>
      <c r="X991" s="117">
        <f t="shared" si="180"/>
        <v>0</v>
      </c>
      <c r="Y991" s="117">
        <f t="shared" si="180"/>
        <v>0</v>
      </c>
      <c r="Z991" s="117">
        <f t="shared" si="180"/>
        <v>0</v>
      </c>
      <c r="AA991" s="117">
        <f t="shared" si="180"/>
        <v>0</v>
      </c>
      <c r="AB991" s="117">
        <f t="shared" si="180"/>
        <v>0</v>
      </c>
      <c r="AC991" s="117">
        <f t="shared" si="180"/>
        <v>0</v>
      </c>
      <c r="AD991" s="117">
        <f t="shared" si="180"/>
        <v>0</v>
      </c>
      <c r="AE991" s="117">
        <f t="shared" si="180"/>
        <v>0</v>
      </c>
      <c r="AF991" s="117">
        <f t="shared" si="180"/>
        <v>0</v>
      </c>
      <c r="AG991" s="117">
        <f t="shared" si="180"/>
        <v>0</v>
      </c>
      <c r="AH991" s="117">
        <f t="shared" si="180"/>
        <v>0</v>
      </c>
      <c r="AI991" s="117">
        <f t="shared" si="180"/>
        <v>1480.5</v>
      </c>
      <c r="AJ991" s="117">
        <f t="shared" si="180"/>
        <v>0</v>
      </c>
      <c r="AK991" s="117"/>
      <c r="AL991" s="117">
        <f t="shared" si="180"/>
        <v>0</v>
      </c>
      <c r="AM991" s="117">
        <f t="shared" si="180"/>
        <v>0</v>
      </c>
      <c r="AN991" s="117">
        <f t="shared" si="180"/>
        <v>0</v>
      </c>
      <c r="AO991" s="117">
        <f t="shared" si="180"/>
        <v>0</v>
      </c>
      <c r="AP991" s="117">
        <f t="shared" si="180"/>
        <v>0</v>
      </c>
      <c r="AQ991" s="117">
        <f t="shared" si="180"/>
        <v>0</v>
      </c>
      <c r="AR991" s="117">
        <f t="shared" si="180"/>
        <v>0</v>
      </c>
      <c r="AS991" s="117">
        <f t="shared" si="180"/>
        <v>0</v>
      </c>
      <c r="AT991" s="117">
        <f t="shared" si="180"/>
        <v>0</v>
      </c>
      <c r="AU991" s="117">
        <f t="shared" si="180"/>
        <v>0</v>
      </c>
      <c r="AV991" s="117">
        <f t="shared" si="180"/>
        <v>0</v>
      </c>
      <c r="AW991" s="117">
        <f aca="true" t="shared" si="181" ref="AW991:BU991">SUBTOTAL(9,AW988:AW990)</f>
        <v>0</v>
      </c>
      <c r="AX991" s="117">
        <f t="shared" si="181"/>
        <v>0</v>
      </c>
      <c r="AY991" s="117">
        <f t="shared" si="181"/>
        <v>0</v>
      </c>
      <c r="AZ991" s="117">
        <f t="shared" si="181"/>
        <v>0</v>
      </c>
      <c r="BA991" s="117">
        <f t="shared" si="181"/>
        <v>150.91782</v>
      </c>
      <c r="BB991" s="117">
        <f t="shared" si="181"/>
        <v>0</v>
      </c>
      <c r="BC991" s="117">
        <f t="shared" si="181"/>
        <v>0</v>
      </c>
      <c r="BD991" s="117">
        <f t="shared" si="181"/>
        <v>0</v>
      </c>
      <c r="BE991" s="117">
        <f t="shared" si="181"/>
        <v>0</v>
      </c>
      <c r="BF991" s="117">
        <f t="shared" si="181"/>
        <v>0</v>
      </c>
      <c r="BG991" s="117">
        <f t="shared" si="181"/>
        <v>0</v>
      </c>
      <c r="BH991" s="117">
        <f t="shared" si="181"/>
        <v>0</v>
      </c>
      <c r="BI991" s="117">
        <f t="shared" si="181"/>
        <v>0</v>
      </c>
      <c r="BJ991" s="117">
        <f t="shared" si="181"/>
        <v>377.12541</v>
      </c>
      <c r="BK991" s="117"/>
      <c r="BL991" s="117">
        <f t="shared" si="181"/>
        <v>0</v>
      </c>
      <c r="BM991" s="117">
        <f t="shared" si="181"/>
        <v>0</v>
      </c>
      <c r="BN991" s="117">
        <f t="shared" si="181"/>
        <v>0</v>
      </c>
      <c r="BO991" s="117">
        <f t="shared" si="181"/>
        <v>0</v>
      </c>
      <c r="BP991" s="117">
        <f t="shared" si="181"/>
        <v>0</v>
      </c>
      <c r="BQ991" s="117">
        <f t="shared" si="181"/>
        <v>0</v>
      </c>
      <c r="BR991" s="117">
        <f t="shared" si="181"/>
        <v>0</v>
      </c>
      <c r="BS991" s="117">
        <f t="shared" si="181"/>
        <v>0</v>
      </c>
      <c r="BT991" s="117">
        <f t="shared" si="181"/>
        <v>0</v>
      </c>
      <c r="BU991" s="117">
        <f t="shared" si="181"/>
        <v>0</v>
      </c>
    </row>
    <row r="992" spans="1:73" s="323" customFormat="1" ht="24.75" customHeight="1" thickBot="1">
      <c r="A992" s="317" t="s">
        <v>19</v>
      </c>
      <c r="B992" s="318"/>
      <c r="C992" s="319" t="s">
        <v>1572</v>
      </c>
      <c r="D992" s="320"/>
      <c r="E992" s="321"/>
      <c r="F992" s="322">
        <f aca="true" t="shared" si="182" ref="F992:BD992">SUBTOTAL(9,F7:F991)</f>
        <v>3802643.402989999</v>
      </c>
      <c r="G992" s="322">
        <f t="shared" si="182"/>
        <v>1424394.3896</v>
      </c>
      <c r="H992" s="322">
        <f t="shared" si="182"/>
        <v>2378249.013389998</v>
      </c>
      <c r="I992" s="322">
        <f t="shared" si="182"/>
        <v>248533.32618999993</v>
      </c>
      <c r="J992" s="322">
        <f t="shared" si="182"/>
        <v>139258.245</v>
      </c>
      <c r="K992" s="322">
        <f t="shared" si="182"/>
        <v>172724.83548000013</v>
      </c>
      <c r="L992" s="322">
        <f t="shared" si="182"/>
        <v>35000.000000000015</v>
      </c>
      <c r="M992" s="322">
        <f t="shared" si="182"/>
        <v>57295.02804999998</v>
      </c>
      <c r="N992" s="322">
        <f t="shared" si="182"/>
        <v>257627.02487000002</v>
      </c>
      <c r="O992" s="322">
        <f t="shared" si="182"/>
        <v>22566.99313</v>
      </c>
      <c r="P992" s="322">
        <f t="shared" si="182"/>
        <v>1810.7616300000004</v>
      </c>
      <c r="Q992" s="322">
        <f t="shared" si="182"/>
        <v>13227.899999999994</v>
      </c>
      <c r="R992" s="322">
        <f t="shared" si="182"/>
        <v>538.7</v>
      </c>
      <c r="S992" s="322">
        <f t="shared" si="182"/>
        <v>23037.900000000005</v>
      </c>
      <c r="T992" s="322">
        <f t="shared" si="182"/>
        <v>10123.144999999999</v>
      </c>
      <c r="U992" s="322">
        <f t="shared" si="182"/>
        <v>30000</v>
      </c>
      <c r="V992" s="322">
        <f t="shared" si="182"/>
        <v>5692.5</v>
      </c>
      <c r="W992" s="322">
        <f t="shared" si="182"/>
        <v>119405.08999999997</v>
      </c>
      <c r="X992" s="322">
        <f t="shared" si="182"/>
        <v>62337.81771999998</v>
      </c>
      <c r="Y992" s="322">
        <f t="shared" si="182"/>
        <v>16518.989000000005</v>
      </c>
      <c r="Z992" s="322">
        <f t="shared" si="182"/>
        <v>48907.981839999986</v>
      </c>
      <c r="AA992" s="322">
        <f t="shared" si="182"/>
        <v>167746.2999999999</v>
      </c>
      <c r="AB992" s="322">
        <f t="shared" si="182"/>
        <v>88946.89999999983</v>
      </c>
      <c r="AC992" s="322">
        <f t="shared" si="182"/>
        <v>5188.638290000001</v>
      </c>
      <c r="AD992" s="322">
        <f t="shared" si="182"/>
        <v>2708.83246</v>
      </c>
      <c r="AE992" s="322">
        <f t="shared" si="182"/>
        <v>513.35</v>
      </c>
      <c r="AF992" s="322">
        <f t="shared" si="182"/>
        <v>1001.5987</v>
      </c>
      <c r="AG992" s="322">
        <f t="shared" si="182"/>
        <v>9018.1872</v>
      </c>
      <c r="AH992" s="322">
        <f t="shared" si="182"/>
        <v>3131.22</v>
      </c>
      <c r="AI992" s="322">
        <f t="shared" si="182"/>
        <v>1480.5</v>
      </c>
      <c r="AJ992" s="322">
        <f t="shared" si="182"/>
        <v>117318.7921999999</v>
      </c>
      <c r="AK992" s="322">
        <f t="shared" si="182"/>
        <v>5260.59391</v>
      </c>
      <c r="AL992" s="322">
        <f t="shared" si="182"/>
        <v>6543.03209</v>
      </c>
      <c r="AM992" s="322">
        <f t="shared" si="182"/>
        <v>19856.882999999998</v>
      </c>
      <c r="AN992" s="322">
        <f t="shared" si="182"/>
        <v>50814.07783000001</v>
      </c>
      <c r="AO992" s="322">
        <f t="shared" si="182"/>
        <v>60056.979199999994</v>
      </c>
      <c r="AP992" s="322">
        <f t="shared" si="182"/>
        <v>19853.704</v>
      </c>
      <c r="AQ992" s="322">
        <f t="shared" si="182"/>
        <v>5062.5</v>
      </c>
      <c r="AR992" s="322">
        <f t="shared" si="182"/>
        <v>1224.3</v>
      </c>
      <c r="AS992" s="322">
        <f t="shared" si="182"/>
        <v>688.24</v>
      </c>
      <c r="AT992" s="322">
        <f t="shared" si="182"/>
        <v>38.832</v>
      </c>
      <c r="AU992" s="322">
        <f t="shared" si="182"/>
        <v>2852.0874999999996</v>
      </c>
      <c r="AV992" s="322">
        <f t="shared" si="182"/>
        <v>25525.759999999995</v>
      </c>
      <c r="AW992" s="322">
        <f t="shared" si="182"/>
        <v>435.24</v>
      </c>
      <c r="AX992" s="322">
        <f t="shared" si="182"/>
        <v>131645.89999999997</v>
      </c>
      <c r="AY992" s="322">
        <f t="shared" si="182"/>
        <v>113110.3</v>
      </c>
      <c r="AZ992" s="322">
        <f t="shared" si="182"/>
        <v>87263.46</v>
      </c>
      <c r="BA992" s="322">
        <f t="shared" si="182"/>
        <v>241051.6</v>
      </c>
      <c r="BB992" s="322">
        <f t="shared" si="182"/>
        <v>0</v>
      </c>
      <c r="BC992" s="322">
        <f t="shared" si="182"/>
        <v>379554.67365000036</v>
      </c>
      <c r="BD992" s="322">
        <f t="shared" si="182"/>
        <v>372038.8999999995</v>
      </c>
      <c r="BE992" s="322">
        <f>SUBTOTAL(9,BE7:BE991)</f>
        <v>23455.10000000001</v>
      </c>
      <c r="BF992" s="322">
        <f>SUBTOTAL(9,BF7:BF991)</f>
        <v>10337.2</v>
      </c>
      <c r="BG992" s="322">
        <f>SUBTOTAL(9,BG7:BG991)</f>
        <v>130.11466</v>
      </c>
      <c r="BH992" s="322">
        <f>SUBTOTAL(9,BH7:BH991)</f>
        <v>191.95134000000002</v>
      </c>
      <c r="BI992" s="322">
        <f>SUBTOTAL(9,BI7:BI991)</f>
        <v>0</v>
      </c>
      <c r="BJ992" s="322">
        <f>SUBTOTAL(9,BJ7:BJ991)</f>
        <v>380757.94499999995</v>
      </c>
      <c r="BK992" s="322">
        <f>SUBTOTAL(9,BK7:BK991)</f>
        <v>9938.793599999999</v>
      </c>
      <c r="BL992" s="322">
        <f>SUBTOTAL(9,BL7:BL991)</f>
        <v>19.2645</v>
      </c>
      <c r="BM992" s="322">
        <f>SUBTOTAL(9,BM7:BM991)</f>
        <v>30783.573159999993</v>
      </c>
      <c r="BN992" s="322">
        <f>SUBTOTAL(9,BN7:BN991)</f>
        <v>59679.840789999995</v>
      </c>
      <c r="BO992" s="322">
        <f>SUBTOTAL(9,BO7:BO991)</f>
        <v>2000</v>
      </c>
      <c r="BP992" s="322">
        <f>SUBTOTAL(9,BP7:BP991)</f>
        <v>0</v>
      </c>
      <c r="BQ992" s="322">
        <f>SUBTOTAL(9,BQ7:BQ991)</f>
        <v>1890.0000000000002</v>
      </c>
      <c r="BR992" s="322">
        <f>SUBTOTAL(9,BR7:BR991)</f>
        <v>24214</v>
      </c>
      <c r="BS992" s="322">
        <f>SUBTOTAL(9,BS7:BS991)</f>
        <v>21374.999999999996</v>
      </c>
      <c r="BT992" s="322">
        <f>SUBTOTAL(9,BT7:BT991)</f>
        <v>21333</v>
      </c>
      <c r="BU992" s="322">
        <f>SUBTOTAL(9,BU7:BU991)</f>
        <v>32000</v>
      </c>
    </row>
    <row r="993" spans="6:73" ht="20.25">
      <c r="F993" s="167"/>
      <c r="G993" s="58"/>
      <c r="H993" s="58"/>
      <c r="I993" s="58"/>
      <c r="J993" s="58"/>
      <c r="K993" s="58"/>
      <c r="L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E993" s="58"/>
      <c r="AF993" s="58"/>
      <c r="AG993" s="58"/>
      <c r="AH993" s="58"/>
      <c r="AI993" s="58"/>
      <c r="AJ993" s="58"/>
      <c r="AK993" s="58"/>
      <c r="AL993" s="58"/>
      <c r="AM993" s="86"/>
      <c r="AN993" s="58"/>
      <c r="AO993" s="58"/>
      <c r="AP993" s="58"/>
      <c r="AQ993" s="58"/>
      <c r="AV993" s="58"/>
      <c r="AW993" s="58"/>
      <c r="AX993" s="58"/>
      <c r="AZ993" s="58"/>
      <c r="BA993" s="58"/>
      <c r="BB993" s="58"/>
      <c r="BC993" s="87"/>
      <c r="BD993" s="87"/>
      <c r="BE993" s="87"/>
      <c r="BF993" s="87"/>
      <c r="BG993" s="87"/>
      <c r="BH993" s="87"/>
      <c r="BI993" s="58"/>
      <c r="BJ993" s="58"/>
      <c r="BK993" s="58"/>
      <c r="BL993" s="58"/>
      <c r="BM993" s="58"/>
      <c r="BN993" s="58"/>
      <c r="BO993" s="58"/>
      <c r="BP993" s="58"/>
      <c r="BQ993" s="58"/>
      <c r="BR993" s="58"/>
      <c r="BS993" s="58"/>
      <c r="BT993" s="58"/>
      <c r="BU993" s="58"/>
    </row>
    <row r="994" spans="15:61" ht="20.25">
      <c r="O994" s="169"/>
      <c r="P994" s="101"/>
      <c r="Q994" s="82"/>
      <c r="R994" s="82"/>
      <c r="S994" s="170"/>
      <c r="T994" s="85"/>
      <c r="U994" s="85"/>
      <c r="V994" s="85"/>
      <c r="W994" s="85"/>
      <c r="X994" s="85"/>
      <c r="BB994" s="59"/>
      <c r="BI994" s="1"/>
    </row>
    <row r="995" spans="15:61" ht="20.25">
      <c r="O995" s="59"/>
      <c r="P995" s="102"/>
      <c r="Q995" s="82"/>
      <c r="R995" s="82"/>
      <c r="BB995" s="59"/>
      <c r="BI995" s="1"/>
    </row>
    <row r="996" spans="15:61" ht="20.25">
      <c r="O996" s="59"/>
      <c r="P996" s="102"/>
      <c r="Q996" s="82"/>
      <c r="R996" s="82"/>
      <c r="BB996" s="59"/>
      <c r="BI996" s="1"/>
    </row>
    <row r="997" spans="15:61" ht="20.25">
      <c r="O997" s="86"/>
      <c r="P997" s="86"/>
      <c r="Q997" s="103"/>
      <c r="R997" s="103"/>
      <c r="BB997" s="59"/>
      <c r="BI997" s="1"/>
    </row>
    <row r="998" spans="15:61" ht="20.25">
      <c r="O998" s="103"/>
      <c r="P998" s="103"/>
      <c r="Q998" s="103"/>
      <c r="R998" s="103"/>
      <c r="S998" s="153"/>
      <c r="BB998" s="59"/>
      <c r="BI998" s="1"/>
    </row>
    <row r="999" spans="15:61" ht="20.25">
      <c r="O999" s="103"/>
      <c r="P999" s="103"/>
      <c r="Q999" s="103"/>
      <c r="R999" s="103"/>
      <c r="S999" s="153"/>
      <c r="BB999" s="59"/>
      <c r="BI999" s="1"/>
    </row>
    <row r="1000" spans="15:61" ht="20.25">
      <c r="O1000" s="103"/>
      <c r="P1000" s="103"/>
      <c r="Q1000" s="103"/>
      <c r="R1000" s="103"/>
      <c r="S1000" s="153"/>
      <c r="BB1000" s="59"/>
      <c r="BI1000" s="1"/>
    </row>
    <row r="1001" spans="15:61" ht="20.25">
      <c r="O1001" s="104"/>
      <c r="P1001" s="104"/>
      <c r="Q1001" s="105"/>
      <c r="R1001" s="105"/>
      <c r="S1001" s="153"/>
      <c r="BB1001" s="59"/>
      <c r="BI1001" s="1"/>
    </row>
    <row r="1002" spans="15:61" ht="20.25">
      <c r="O1002" s="58"/>
      <c r="P1002" s="58"/>
      <c r="BB1002" s="59"/>
      <c r="BI1002" s="1"/>
    </row>
    <row r="1003" spans="54:61" ht="20.25">
      <c r="BB1003" s="59"/>
      <c r="BI1003" s="1"/>
    </row>
    <row r="1004" spans="2:61" ht="20.25">
      <c r="B1004" s="5"/>
      <c r="C1004" s="1"/>
      <c r="D1004" s="199"/>
      <c r="E1004" s="1"/>
      <c r="F1004" s="32"/>
      <c r="G1004" s="1"/>
      <c r="H1004" s="1"/>
      <c r="I1004" s="1"/>
      <c r="J1004" s="1"/>
      <c r="K1004" s="1"/>
      <c r="L1004" s="1"/>
      <c r="N1004" s="1"/>
      <c r="O1004" s="59"/>
      <c r="BB1004" s="59"/>
      <c r="BI1004" s="1"/>
    </row>
    <row r="1005" spans="2:61" ht="20.25">
      <c r="B1005" s="5"/>
      <c r="C1005" s="1"/>
      <c r="D1005" s="199"/>
      <c r="E1005" s="1"/>
      <c r="F1005" s="32"/>
      <c r="G1005" s="1"/>
      <c r="H1005" s="1"/>
      <c r="I1005" s="1"/>
      <c r="J1005" s="1"/>
      <c r="K1005" s="1"/>
      <c r="L1005" s="1"/>
      <c r="N1005" s="1"/>
      <c r="O1005" s="59"/>
      <c r="P1005" s="59"/>
      <c r="BB1005" s="59"/>
      <c r="BI1005" s="1"/>
    </row>
    <row r="1006" spans="2:61" ht="20.25">
      <c r="B1006" s="5"/>
      <c r="C1006" s="1"/>
      <c r="D1006" s="199"/>
      <c r="E1006" s="1"/>
      <c r="F1006" s="32"/>
      <c r="G1006" s="1"/>
      <c r="H1006" s="1"/>
      <c r="I1006" s="1"/>
      <c r="J1006" s="1"/>
      <c r="K1006" s="1"/>
      <c r="L1006" s="1"/>
      <c r="N1006" s="1"/>
      <c r="O1006" s="59"/>
      <c r="BB1006" s="59"/>
      <c r="BI1006" s="1"/>
    </row>
    <row r="1007" spans="1:61" ht="20.25">
      <c r="A1007" s="1"/>
      <c r="B1007" s="5"/>
      <c r="C1007" s="1"/>
      <c r="D1007" s="199"/>
      <c r="E1007" s="1"/>
      <c r="F1007" s="32"/>
      <c r="G1007" s="1"/>
      <c r="H1007" s="1"/>
      <c r="I1007" s="1"/>
      <c r="J1007" s="1"/>
      <c r="K1007" s="1"/>
      <c r="L1007" s="1"/>
      <c r="N1007" s="1"/>
      <c r="BB1007" s="59"/>
      <c r="BI1007" s="1"/>
    </row>
    <row r="1008" spans="1:61" ht="20.25">
      <c r="A1008" s="1"/>
      <c r="B1008" s="5"/>
      <c r="C1008" s="1"/>
      <c r="D1008" s="199"/>
      <c r="E1008" s="1"/>
      <c r="F1008" s="32"/>
      <c r="G1008" s="1"/>
      <c r="H1008" s="1"/>
      <c r="I1008" s="1"/>
      <c r="J1008" s="1"/>
      <c r="K1008" s="1"/>
      <c r="L1008" s="1"/>
      <c r="N1008" s="1"/>
      <c r="BB1008" s="59"/>
      <c r="BI1008" s="1"/>
    </row>
    <row r="1009" spans="1:61" ht="20.25">
      <c r="A1009" s="1"/>
      <c r="B1009" s="5"/>
      <c r="C1009" s="1"/>
      <c r="D1009" s="199"/>
      <c r="E1009" s="1"/>
      <c r="F1009" s="32"/>
      <c r="G1009" s="1"/>
      <c r="H1009" s="1"/>
      <c r="I1009" s="1"/>
      <c r="J1009" s="1"/>
      <c r="K1009" s="1"/>
      <c r="L1009" s="1"/>
      <c r="N1009" s="1"/>
      <c r="BB1009" s="59"/>
      <c r="BI1009" s="1"/>
    </row>
    <row r="1010" spans="1:61" ht="20.25">
      <c r="A1010" s="1"/>
      <c r="B1010" s="5"/>
      <c r="C1010" s="1"/>
      <c r="D1010" s="199"/>
      <c r="E1010" s="1"/>
      <c r="F1010" s="32"/>
      <c r="G1010" s="1"/>
      <c r="H1010" s="1"/>
      <c r="I1010" s="1"/>
      <c r="J1010" s="1"/>
      <c r="K1010" s="1"/>
      <c r="L1010" s="1"/>
      <c r="N1010" s="1"/>
      <c r="BB1010" s="59"/>
      <c r="BI1010" s="1"/>
    </row>
    <row r="1011" spans="1:61" ht="20.25">
      <c r="A1011" s="1"/>
      <c r="B1011" s="5"/>
      <c r="C1011" s="1"/>
      <c r="D1011" s="199"/>
      <c r="E1011" s="1"/>
      <c r="F1011" s="32"/>
      <c r="G1011" s="1"/>
      <c r="H1011" s="1"/>
      <c r="I1011" s="1"/>
      <c r="J1011" s="1"/>
      <c r="K1011" s="1"/>
      <c r="L1011" s="1"/>
      <c r="N1011" s="1"/>
      <c r="BB1011" s="59"/>
      <c r="BI1011" s="1"/>
    </row>
    <row r="1012" spans="1:61" ht="20.25">
      <c r="A1012" s="1"/>
      <c r="B1012" s="5"/>
      <c r="C1012" s="1"/>
      <c r="D1012" s="199"/>
      <c r="E1012" s="1"/>
      <c r="F1012" s="32"/>
      <c r="G1012" s="1"/>
      <c r="H1012" s="1"/>
      <c r="I1012" s="1"/>
      <c r="J1012" s="1"/>
      <c r="K1012" s="1"/>
      <c r="L1012" s="1"/>
      <c r="N1012" s="1"/>
      <c r="BB1012" s="59"/>
      <c r="BI1012" s="1"/>
    </row>
    <row r="1013" spans="1:61" ht="20.25">
      <c r="A1013" s="1"/>
      <c r="B1013" s="5"/>
      <c r="C1013" s="1"/>
      <c r="D1013" s="199"/>
      <c r="E1013" s="1"/>
      <c r="F1013" s="32"/>
      <c r="G1013" s="1"/>
      <c r="H1013" s="1"/>
      <c r="I1013" s="1"/>
      <c r="J1013" s="1"/>
      <c r="K1013" s="1"/>
      <c r="L1013" s="1"/>
      <c r="N1013" s="1"/>
      <c r="BB1013" s="59"/>
      <c r="BI1013" s="1"/>
    </row>
    <row r="1014" spans="1:61" ht="20.25">
      <c r="A1014" s="1"/>
      <c r="B1014" s="5"/>
      <c r="C1014" s="1"/>
      <c r="D1014" s="199"/>
      <c r="E1014" s="1"/>
      <c r="F1014" s="32"/>
      <c r="G1014" s="1"/>
      <c r="H1014" s="1"/>
      <c r="I1014" s="1"/>
      <c r="J1014" s="1"/>
      <c r="K1014" s="1"/>
      <c r="L1014" s="1"/>
      <c r="N1014" s="1"/>
      <c r="BB1014" s="59"/>
      <c r="BI1014" s="1"/>
    </row>
    <row r="1015" spans="1:61" ht="20.25">
      <c r="A1015" s="1"/>
      <c r="B1015" s="5"/>
      <c r="C1015" s="1"/>
      <c r="D1015" s="199"/>
      <c r="E1015" s="1"/>
      <c r="F1015" s="32"/>
      <c r="G1015" s="1"/>
      <c r="H1015" s="1"/>
      <c r="I1015" s="1"/>
      <c r="J1015" s="1"/>
      <c r="K1015" s="1"/>
      <c r="L1015" s="1"/>
      <c r="N1015" s="1"/>
      <c r="BB1015" s="59"/>
      <c r="BI1015" s="1"/>
    </row>
    <row r="1016" spans="1:61" ht="20.25">
      <c r="A1016" s="1"/>
      <c r="B1016" s="5"/>
      <c r="C1016" s="1"/>
      <c r="D1016" s="199"/>
      <c r="E1016" s="1"/>
      <c r="F1016" s="32"/>
      <c r="G1016" s="1"/>
      <c r="H1016" s="1"/>
      <c r="I1016" s="1"/>
      <c r="J1016" s="1"/>
      <c r="K1016" s="1"/>
      <c r="L1016" s="1"/>
      <c r="N1016" s="1"/>
      <c r="BB1016" s="59"/>
      <c r="BI1016" s="1"/>
    </row>
    <row r="1017" spans="1:61" ht="20.25">
      <c r="A1017" s="1"/>
      <c r="B1017" s="5"/>
      <c r="C1017" s="1"/>
      <c r="D1017" s="199"/>
      <c r="E1017" s="1"/>
      <c r="F1017" s="32"/>
      <c r="G1017" s="1"/>
      <c r="H1017" s="1"/>
      <c r="I1017" s="1"/>
      <c r="J1017" s="1"/>
      <c r="K1017" s="1"/>
      <c r="L1017" s="83"/>
      <c r="N1017" s="1"/>
      <c r="BB1017" s="59"/>
      <c r="BI1017" s="1"/>
    </row>
    <row r="1018" spans="1:61" ht="20.25">
      <c r="A1018" s="1"/>
      <c r="B1018" s="5"/>
      <c r="C1018" s="1"/>
      <c r="D1018" s="199"/>
      <c r="E1018" s="1"/>
      <c r="F1018" s="32"/>
      <c r="G1018" s="1"/>
      <c r="H1018" s="1"/>
      <c r="I1018" s="1"/>
      <c r="J1018" s="1"/>
      <c r="K1018" s="1"/>
      <c r="L1018" s="1"/>
      <c r="N1018" s="1"/>
      <c r="BB1018" s="59"/>
      <c r="BI1018" s="1"/>
    </row>
    <row r="1019" spans="1:61" ht="20.25">
      <c r="A1019" s="1"/>
      <c r="B1019" s="5"/>
      <c r="C1019" s="1"/>
      <c r="D1019" s="199"/>
      <c r="E1019" s="1"/>
      <c r="F1019" s="32"/>
      <c r="G1019" s="1"/>
      <c r="H1019" s="1"/>
      <c r="I1019" s="1"/>
      <c r="J1019" s="1"/>
      <c r="K1019" s="1"/>
      <c r="L1019" s="1"/>
      <c r="N1019" s="1"/>
      <c r="BB1019" s="59"/>
      <c r="BI1019" s="1"/>
    </row>
    <row r="1020" spans="1:61" ht="20.25">
      <c r="A1020" s="1"/>
      <c r="B1020" s="5"/>
      <c r="C1020" s="1"/>
      <c r="D1020" s="199"/>
      <c r="E1020" s="1"/>
      <c r="F1020" s="32"/>
      <c r="G1020" s="1"/>
      <c r="H1020" s="1"/>
      <c r="I1020" s="1"/>
      <c r="J1020" s="1"/>
      <c r="K1020" s="1"/>
      <c r="L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59"/>
      <c r="BI1020" s="1"/>
    </row>
    <row r="1021" spans="1:61" ht="20.25">
      <c r="A1021" s="1"/>
      <c r="B1021" s="5"/>
      <c r="C1021" s="1"/>
      <c r="D1021" s="199"/>
      <c r="E1021" s="1"/>
      <c r="F1021" s="32"/>
      <c r="G1021" s="1"/>
      <c r="H1021" s="1"/>
      <c r="I1021" s="1"/>
      <c r="J1021" s="1"/>
      <c r="K1021" s="1"/>
      <c r="L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59"/>
      <c r="BI1021" s="1"/>
    </row>
    <row r="1022" spans="1:61" ht="20.25">
      <c r="A1022" s="1"/>
      <c r="B1022" s="5"/>
      <c r="C1022" s="1"/>
      <c r="D1022" s="199"/>
      <c r="E1022" s="1"/>
      <c r="F1022" s="32"/>
      <c r="G1022" s="1"/>
      <c r="H1022" s="1"/>
      <c r="I1022" s="1"/>
      <c r="J1022" s="1"/>
      <c r="K1022" s="1"/>
      <c r="L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59"/>
      <c r="BI1022" s="1"/>
    </row>
    <row r="1023" spans="1:61" ht="20.25">
      <c r="A1023" s="1"/>
      <c r="B1023" s="5"/>
      <c r="C1023" s="1"/>
      <c r="D1023" s="199"/>
      <c r="E1023" s="1"/>
      <c r="F1023" s="32"/>
      <c r="G1023" s="1"/>
      <c r="H1023" s="1"/>
      <c r="I1023" s="1"/>
      <c r="J1023" s="1"/>
      <c r="K1023" s="1"/>
      <c r="L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59"/>
      <c r="BI1023" s="1"/>
    </row>
    <row r="1024" spans="1:61" ht="20.25">
      <c r="A1024" s="1"/>
      <c r="B1024" s="5"/>
      <c r="C1024" s="1"/>
      <c r="D1024" s="199"/>
      <c r="E1024" s="1"/>
      <c r="F1024" s="32"/>
      <c r="G1024" s="1"/>
      <c r="H1024" s="1"/>
      <c r="I1024" s="1"/>
      <c r="J1024" s="1"/>
      <c r="K1024" s="1"/>
      <c r="L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59"/>
      <c r="BI1024" s="1"/>
    </row>
    <row r="1025" spans="1:61" ht="20.25">
      <c r="A1025" s="1"/>
      <c r="B1025" s="5"/>
      <c r="C1025" s="1"/>
      <c r="D1025" s="199"/>
      <c r="E1025" s="1"/>
      <c r="F1025" s="32"/>
      <c r="G1025" s="1"/>
      <c r="H1025" s="1"/>
      <c r="I1025" s="1"/>
      <c r="J1025" s="1"/>
      <c r="K1025" s="1"/>
      <c r="L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59"/>
      <c r="BI1025" s="1"/>
    </row>
    <row r="1026" spans="1:61" ht="20.25">
      <c r="A1026" s="1"/>
      <c r="B1026" s="5"/>
      <c r="C1026" s="1"/>
      <c r="D1026" s="199"/>
      <c r="E1026" s="1"/>
      <c r="F1026" s="32"/>
      <c r="G1026" s="1"/>
      <c r="H1026" s="1"/>
      <c r="I1026" s="1"/>
      <c r="J1026" s="1"/>
      <c r="K1026" s="1"/>
      <c r="L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59"/>
      <c r="BI1026" s="1"/>
    </row>
    <row r="1027" spans="1:61" ht="20.25">
      <c r="A1027" s="1"/>
      <c r="B1027" s="5"/>
      <c r="C1027" s="1"/>
      <c r="D1027" s="199"/>
      <c r="E1027" s="1"/>
      <c r="F1027" s="32"/>
      <c r="G1027" s="1"/>
      <c r="H1027" s="1"/>
      <c r="I1027" s="1"/>
      <c r="J1027" s="1"/>
      <c r="K1027" s="1"/>
      <c r="L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59"/>
      <c r="BI1027" s="1"/>
    </row>
    <row r="1028" spans="1:61" ht="20.25">
      <c r="A1028" s="1"/>
      <c r="B1028" s="5"/>
      <c r="C1028" s="1"/>
      <c r="D1028" s="199"/>
      <c r="E1028" s="1"/>
      <c r="F1028" s="32"/>
      <c r="G1028" s="1"/>
      <c r="H1028" s="1"/>
      <c r="I1028" s="1"/>
      <c r="J1028" s="1"/>
      <c r="K1028" s="1"/>
      <c r="L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59"/>
      <c r="BI1028" s="1"/>
    </row>
    <row r="1029" spans="1:61" ht="20.25">
      <c r="A1029" s="1"/>
      <c r="B1029" s="5"/>
      <c r="C1029" s="1"/>
      <c r="D1029" s="199"/>
      <c r="E1029" s="1"/>
      <c r="F1029" s="32"/>
      <c r="G1029" s="1"/>
      <c r="H1029" s="1"/>
      <c r="I1029" s="1"/>
      <c r="J1029" s="1"/>
      <c r="K1029" s="1"/>
      <c r="L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59"/>
      <c r="BI1029" s="1"/>
    </row>
    <row r="1030" spans="1:61" ht="20.25">
      <c r="A1030" s="1"/>
      <c r="B1030" s="5"/>
      <c r="C1030" s="1"/>
      <c r="D1030" s="199"/>
      <c r="E1030" s="1"/>
      <c r="F1030" s="32"/>
      <c r="G1030" s="1"/>
      <c r="H1030" s="1"/>
      <c r="I1030" s="1"/>
      <c r="J1030" s="1"/>
      <c r="K1030" s="1"/>
      <c r="L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59"/>
      <c r="BI1030" s="1"/>
    </row>
  </sheetData>
  <sheetProtection/>
  <autoFilter ref="A6:BU991"/>
  <mergeCells count="54">
    <mergeCell ref="BD1:BE1"/>
    <mergeCell ref="A3:A5"/>
    <mergeCell ref="B3:B5"/>
    <mergeCell ref="C3:C5"/>
    <mergeCell ref="D3:D5"/>
    <mergeCell ref="E3:E5"/>
    <mergeCell ref="F3:H4"/>
    <mergeCell ref="I3:J4"/>
    <mergeCell ref="K3:L4"/>
    <mergeCell ref="M3:M4"/>
    <mergeCell ref="N3:N4"/>
    <mergeCell ref="O3:P4"/>
    <mergeCell ref="Q3:Q4"/>
    <mergeCell ref="R3:R4"/>
    <mergeCell ref="S3:T4"/>
    <mergeCell ref="U3:V4"/>
    <mergeCell ref="W3:X4"/>
    <mergeCell ref="Y3:Z4"/>
    <mergeCell ref="AA3:AB4"/>
    <mergeCell ref="AC3:AD4"/>
    <mergeCell ref="AE3:AF4"/>
    <mergeCell ref="AG3:AG4"/>
    <mergeCell ref="AJ3:AJ4"/>
    <mergeCell ref="AL3:AL4"/>
    <mergeCell ref="AR3:AS4"/>
    <mergeCell ref="AM3:AM4"/>
    <mergeCell ref="AN3:AN4"/>
    <mergeCell ref="AO3:AP4"/>
    <mergeCell ref="AQ3:AQ4"/>
    <mergeCell ref="AT3:AT4"/>
    <mergeCell ref="AU3:AU4"/>
    <mergeCell ref="AV3:AV4"/>
    <mergeCell ref="AW3:AW4"/>
    <mergeCell ref="AX3:AY4"/>
    <mergeCell ref="BR3:BS4"/>
    <mergeCell ref="BF3:BF4"/>
    <mergeCell ref="BG3:BH4"/>
    <mergeCell ref="BI3:BI4"/>
    <mergeCell ref="BJ3:BJ4"/>
    <mergeCell ref="AZ3:AZ4"/>
    <mergeCell ref="BA3:BA4"/>
    <mergeCell ref="BB3:BB4"/>
    <mergeCell ref="BC3:BD4"/>
    <mergeCell ref="BE3:BE4"/>
    <mergeCell ref="AH3:AH4"/>
    <mergeCell ref="AI3:AI4"/>
    <mergeCell ref="AK3:AK4"/>
    <mergeCell ref="BK3:BK4"/>
    <mergeCell ref="BT3:BU4"/>
    <mergeCell ref="BL3:BL4"/>
    <mergeCell ref="BM3:BM4"/>
    <mergeCell ref="BP3:BQ4"/>
    <mergeCell ref="BN3:BN4"/>
    <mergeCell ref="BO3:BO4"/>
  </mergeCells>
  <dataValidations count="5">
    <dataValidation type="list" allowBlank="1" showInputMessage="1" showErrorMessage="1" sqref="BN65 BA32:BB32 BE33:BK33 BI32:BK32 BA33:BC33 C993:C65536 C593:C649 C550:C568 C474:C498 C427:C434 C364:C380 C315:C319 C306:C312 C283:C302 C229:C236 C209:C227 C180:C187 C93:C130 C7:C67 C69:C91 D77:E77 C132:C178 C189:C207 C238:C281 D276:E278 C321:C330 C332:C341 C343:C362 C382:C425 C436:C472 C505:C548 C502:C503 C500 C570:C591 C742:C753 C755:C764 C651:C665 C683:C740 C667:C681 C766:C792 C986 C918:C939 C941:C960 C868 C870:C881 C883:C916 C820:C846 C794:C818 C848:C866 C962:C984 C988:C990 I211:AI211 I184:AI184 AK184:BK184 AK121:BI121 I121:AI121 AK32:AY33 I32:AI33 AK77:BB77 I77:AI77 I276:Z278">
      <formula1>ОПФ</formula1>
    </dataValidation>
    <dataValidation type="textLength" allowBlank="1" showInputMessage="1" showErrorMessage="1" errorTitle="Ошибка ввода ИНН" error="Длина ИНН должна составлять 10 или 12 сиволов" sqref="D564:E565 D313:E314 D303:E305">
      <formula1>10</formula1>
      <formula2>12</formula2>
    </dataValidation>
    <dataValidation type="list" allowBlank="1" showInputMessage="1" showErrorMessage="1" sqref="C313:C314 C303:C305">
      <formula1>Form</formula1>
    </dataValidation>
    <dataValidation type="list" allowBlank="1" showInputMessage="1" showErrorMessage="1" sqref="C6">
      <formula1>оп</formula1>
    </dataValidation>
    <dataValidation type="textLength" allowBlank="1" showInputMessage="1" showErrorMessage="1" errorTitle="Ошибка ввода номера" error="Длина идентификационного номера должна составлять от 1 до 12 символов" sqref="D36:E36">
      <formula1>1</formula1>
      <formula2>12</formula2>
    </dataValidation>
  </dataValidations>
  <printOptions/>
  <pageMargins left="0.31496062992125984" right="0.1968503937007874" top="0.1968503937007874" bottom="0.1968503937007874" header="0.11811023622047245" footer="0.11811023622047245"/>
  <pageSetup horizontalDpi="600" verticalDpi="600" orientation="landscape" paperSize="9" scale="40" r:id="rId3"/>
  <headerFooter>
    <oddFooter>&amp;R&amp;P</oddFooter>
  </headerFooter>
  <colBreaks count="1" manualBreakCount="1">
    <brk id="22" max="9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АПК</cp:lastModifiedBy>
  <cp:lastPrinted>2015-03-11T10:46:19Z</cp:lastPrinted>
  <dcterms:created xsi:type="dcterms:W3CDTF">2009-08-31T08:50:44Z</dcterms:created>
  <dcterms:modified xsi:type="dcterms:W3CDTF">2015-04-13T10:39:05Z</dcterms:modified>
  <cp:category/>
  <cp:version/>
  <cp:contentType/>
  <cp:contentStatus/>
</cp:coreProperties>
</file>