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9440" windowHeight="11550" activeTab="0"/>
  </bookViews>
  <sheets>
    <sheet name="Реестр 2016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'Реестр 2016'!$A$7:$BT$1094</definedName>
    <definedName name="Form">'[3]Списки'!$A$1:$A$5</definedName>
    <definedName name="_xlnm.Print_Titles" localSheetId="0">'Реестр 2016'!$A:$B,'Реестр 2016'!$3:$6</definedName>
    <definedName name="о">'[2]Лист2'!$A$1:$A$7</definedName>
    <definedName name="_xlnm.Print_Area" localSheetId="0">'Реестр 2016'!$A$1:$BT$1096</definedName>
    <definedName name="оп">'[2]Лист2'!$A$1:$A$7</definedName>
    <definedName name="ОПФ">'[1]Лист2'!$A$1:$A$6</definedName>
    <definedName name="опфв">'[2]Лист2'!$A$1:$A$7</definedName>
  </definedNames>
  <calcPr fullCalcOnLoad="1"/>
</workbook>
</file>

<file path=xl/sharedStrings.xml><?xml version="1.0" encoding="utf-8"?>
<sst xmlns="http://schemas.openxmlformats.org/spreadsheetml/2006/main" count="2263" uniqueCount="1176">
  <si>
    <t>ООО "Сухогор"</t>
  </si>
  <si>
    <t>ООО "Знаменское "</t>
  </si>
  <si>
    <t>ЗАО "Тагарское "</t>
  </si>
  <si>
    <t>Казачинский Итог</t>
  </si>
  <si>
    <t>Саянский</t>
  </si>
  <si>
    <t>СХООО "Семена"</t>
  </si>
  <si>
    <t>Общий итог</t>
  </si>
  <si>
    <t>ООО "Самойловское"</t>
  </si>
  <si>
    <t>ООО "Усольское"</t>
  </si>
  <si>
    <t>Таймырский Итог</t>
  </si>
  <si>
    <t xml:space="preserve">ЗАО "Авангард" </t>
  </si>
  <si>
    <t xml:space="preserve">СПК колхоз "Труженик"  </t>
  </si>
  <si>
    <t>Балахтинский Итог</t>
  </si>
  <si>
    <t>Березовский</t>
  </si>
  <si>
    <t>Манский Итог</t>
  </si>
  <si>
    <t>СПК "Сибирь"</t>
  </si>
  <si>
    <t>Новоселовский Итог</t>
  </si>
  <si>
    <t>Партизанский</t>
  </si>
  <si>
    <t>ООО "Красный Яр"</t>
  </si>
  <si>
    <t>Боготольский Итог</t>
  </si>
  <si>
    <t>Большеулуйский</t>
  </si>
  <si>
    <t xml:space="preserve">СПК им.Калинина </t>
  </si>
  <si>
    <t>ООО "АПК "Устьянский"</t>
  </si>
  <si>
    <t>Туруханский  Итог</t>
  </si>
  <si>
    <t>Тюхтетский</t>
  </si>
  <si>
    <t xml:space="preserve">ООО "Фортуна  АГРО"  </t>
  </si>
  <si>
    <t>ООО "Житница"</t>
  </si>
  <si>
    <t>ИП Степаненко Валерий Алексеевич</t>
  </si>
  <si>
    <t>ООО "Рост"</t>
  </si>
  <si>
    <t>ИП Степанченок Николай Тимофеевич</t>
  </si>
  <si>
    <t>ИП Боровлев Андрей Алексеевич</t>
  </si>
  <si>
    <t>ООО "Искра"</t>
  </si>
  <si>
    <t xml:space="preserve">ООО "Рассвет"  </t>
  </si>
  <si>
    <t xml:space="preserve">ООО "Анциферовское" </t>
  </si>
  <si>
    <t>ЗАО "Назаровское"</t>
  </si>
  <si>
    <t xml:space="preserve">ООО "Танай" </t>
  </si>
  <si>
    <t>ИП Красаков Владислав Иванович</t>
  </si>
  <si>
    <t>СПК "Андроновский"</t>
  </si>
  <si>
    <t>ООО "Кангул"</t>
  </si>
  <si>
    <t xml:space="preserve">СПК "Денисовский"  </t>
  </si>
  <si>
    <t xml:space="preserve">СПК "Колос" </t>
  </si>
  <si>
    <t>СПК "Манганово"</t>
  </si>
  <si>
    <t>Идринский Итог</t>
  </si>
  <si>
    <t>Иланский</t>
  </si>
  <si>
    <t>ООО "Потапово"</t>
  </si>
  <si>
    <t>КХ "Похильченко"</t>
  </si>
  <si>
    <t>ООО "Агат-1"</t>
  </si>
  <si>
    <t>ИП глава К(Ф)Х Черемных Александр Карпович</t>
  </si>
  <si>
    <t>ООО "Шарыповский АПК"</t>
  </si>
  <si>
    <t>ИП Рапана Константин Иванович</t>
  </si>
  <si>
    <t>ИП Руднев Анатолий Степанович</t>
  </si>
  <si>
    <t>ИП глава К(Ф)Х Горбачев Сергей Юрьевич</t>
  </si>
  <si>
    <t>ИП Гасанов Интигам Адиль Оглы</t>
  </si>
  <si>
    <t>ИП Ефремов Николай Николаевич</t>
  </si>
  <si>
    <t>ИП глава К(Ф)Х Сазонкина Екатерина Юрьевна</t>
  </si>
  <si>
    <t>ИП Адейкин Николай Николаевич</t>
  </si>
  <si>
    <t>ИП Земба Александр Данилович</t>
  </si>
  <si>
    <t>ИП Миних Виктор Артурович</t>
  </si>
  <si>
    <t>ООО "Ботаника"</t>
  </si>
  <si>
    <t>ИП глава К(Ф)Х Стариченко Людмила Ивановна</t>
  </si>
  <si>
    <t>ИП глава К(Ф)Х Заводян Александр Михайлович</t>
  </si>
  <si>
    <t>ИП Сабиров Загртин Батталович</t>
  </si>
  <si>
    <t>ООО "Дон"</t>
  </si>
  <si>
    <t xml:space="preserve">ФКУ Объединение ИК № 38 ГУФСИН по Кр.Краю  </t>
  </si>
  <si>
    <t>ООО "Мана"</t>
  </si>
  <si>
    <t>ООО "Иджюль"</t>
  </si>
  <si>
    <t xml:space="preserve">ООО "Листвянка"      </t>
  </si>
  <si>
    <t>ОАО "Новотаежное"</t>
  </si>
  <si>
    <t>СПК "Бас"</t>
  </si>
  <si>
    <t>ООО "Маяк"</t>
  </si>
  <si>
    <t>ИП Меликбекян Артак Сергоевич</t>
  </si>
  <si>
    <t>Енисейский Итог</t>
  </si>
  <si>
    <t>СПСК "Тальский"</t>
  </si>
  <si>
    <t>СПКК "Агросервис"</t>
  </si>
  <si>
    <t>ИП Маслобоев Николай Анатольевич</t>
  </si>
  <si>
    <t>СССПК "Ивановский"</t>
  </si>
  <si>
    <t>Н-Ингашский Итог</t>
  </si>
  <si>
    <t>ПССПК "Лебяженский"</t>
  </si>
  <si>
    <t xml:space="preserve">ФХ "Шанс" </t>
  </si>
  <si>
    <t>ООО "Огороды"</t>
  </si>
  <si>
    <t>ИП глава К(Ф)Х Нечистовский Иван Григорьевич</t>
  </si>
  <si>
    <t>ИП глава К(Ф)Х Шилов Геннадий Михайлович</t>
  </si>
  <si>
    <t>ИП глава К(Ф)Х Макарчук Сергей Адамович</t>
  </si>
  <si>
    <t>Федеральный бюджет</t>
  </si>
  <si>
    <t>ЗАО "Искра Ленина "</t>
  </si>
  <si>
    <t>ИП Колкатинов Юрий Владимирович</t>
  </si>
  <si>
    <t>ИП Канищев Александр Иванович</t>
  </si>
  <si>
    <t>ИП Лапехо Алексей Викторович</t>
  </si>
  <si>
    <t>ООО "МИТК"</t>
  </si>
  <si>
    <t>КХ "Сергеевское"</t>
  </si>
  <si>
    <t xml:space="preserve">КХ "Полюс" </t>
  </si>
  <si>
    <t>ИП Васильев Николай Яковлевич</t>
  </si>
  <si>
    <t>ИП глава К(Ф)Х Артюшина Светлана Ивановна</t>
  </si>
  <si>
    <t>ООО Учхоз "Миндерлинское"</t>
  </si>
  <si>
    <t>КХ Молоткова Сергея Николаевича</t>
  </si>
  <si>
    <t>ООО "Саяны"</t>
  </si>
  <si>
    <t>ООО "Свет"</t>
  </si>
  <si>
    <t>ООО СПП "Энергия"</t>
  </si>
  <si>
    <t>ООО ОПХ "Солянское"</t>
  </si>
  <si>
    <t>ООО "Кросс"</t>
  </si>
  <si>
    <t>СПК "Долгово"</t>
  </si>
  <si>
    <t>ООО "Победа"</t>
  </si>
  <si>
    <t>ООО "Нива"</t>
  </si>
  <si>
    <t>ООО "Сокол"</t>
  </si>
  <si>
    <t>ООО "Сибирь"</t>
  </si>
  <si>
    <t>СПК (смешанного типа) "Успех"</t>
  </si>
  <si>
    <t>ООО "Медведь"</t>
  </si>
  <si>
    <t>ООО "Русь"</t>
  </si>
  <si>
    <t>СССПК "Апрель"</t>
  </si>
  <si>
    <t>ООО "Эдельвейс"</t>
  </si>
  <si>
    <t>СПК "Риск"</t>
  </si>
  <si>
    <t>ООО "Шалоболинское"</t>
  </si>
  <si>
    <t xml:space="preserve">СПК "Алексеевский"   </t>
  </si>
  <si>
    <t>СКПК "Овощевод"</t>
  </si>
  <si>
    <t>ООО "Молокановка"</t>
  </si>
  <si>
    <t xml:space="preserve">КХ "Кипсей" </t>
  </si>
  <si>
    <t>ООО СХП "Шпейтер"</t>
  </si>
  <si>
    <t xml:space="preserve">ООО СХП "Шпенглерово" </t>
  </si>
  <si>
    <t>ООО СХП "Агрис"</t>
  </si>
  <si>
    <t>ООО СХП "Ильтюковское"</t>
  </si>
  <si>
    <t>ООО СХП "Фортуна"</t>
  </si>
  <si>
    <t>ООО Агрофирма "Дзержинская"</t>
  </si>
  <si>
    <t>ИП глава К(Ф)Х Кускашев Николай Дмитриевич</t>
  </si>
  <si>
    <t>СПЖ-СК "Перспектива"</t>
  </si>
  <si>
    <t>ССПК "Гавань"</t>
  </si>
  <si>
    <t>ССПК "Колос"</t>
  </si>
  <si>
    <t>ИП глава К(Ф)Х Бонох Андрей Егорович</t>
  </si>
  <si>
    <t>ИП глава К(Ф)Х Куземич Павел Георгиевич</t>
  </si>
  <si>
    <t>ИП глава К(Ф)Х Майер Александр Андреевич</t>
  </si>
  <si>
    <t>ИП глава К(Ф)Х Якищик Федор Дмитриевич</t>
  </si>
  <si>
    <t>ИП глава К(Ф)Х Ващенко Александр Николаевич</t>
  </si>
  <si>
    <t>ИП глава К(Ф)Х Павлов Николай Константинович</t>
  </si>
  <si>
    <t>СПК " Колхоз "Рассвет"</t>
  </si>
  <si>
    <t xml:space="preserve">ОАО "Красное" </t>
  </si>
  <si>
    <t xml:space="preserve">ОАО "Тюльковское" </t>
  </si>
  <si>
    <t xml:space="preserve">СПК "Нива"        </t>
  </si>
  <si>
    <t>ИП Попов Михаил Петрович</t>
  </si>
  <si>
    <t>ИП глава К(Ф)Х Шулбаев Андрей Кириллович</t>
  </si>
  <si>
    <t xml:space="preserve">ООО СХП  "Жура" </t>
  </si>
  <si>
    <t>СПК "Оракский"</t>
  </si>
  <si>
    <t>Иланский Итог</t>
  </si>
  <si>
    <t>Ирбейский</t>
  </si>
  <si>
    <t>ООО "Восход"</t>
  </si>
  <si>
    <t>ООО "Сибиряк"</t>
  </si>
  <si>
    <t>Абанский Итог</t>
  </si>
  <si>
    <t>Ачинский</t>
  </si>
  <si>
    <t>СПССОК "Агроплюс"</t>
  </si>
  <si>
    <t>Шушенский Итог</t>
  </si>
  <si>
    <t>ОАО "Абалаковский АПК"</t>
  </si>
  <si>
    <t xml:space="preserve">ЗАО "Частоостровское" </t>
  </si>
  <si>
    <t>ООО "Артель"</t>
  </si>
  <si>
    <t>ИП глава к(ф)х Илькив Любовь Борисовна</t>
  </si>
  <si>
    <t xml:space="preserve">Сельскохозяйственный производственный кооператив "РОСЬ"      </t>
  </si>
  <si>
    <t>ЗАО "Восток"</t>
  </si>
  <si>
    <t>ООО "Нектар"</t>
  </si>
  <si>
    <t>СПК "Ласточка"</t>
  </si>
  <si>
    <t>Березовский Итог</t>
  </si>
  <si>
    <t>Большемуртинский</t>
  </si>
  <si>
    <t>ООО "Чистопольские нивы"</t>
  </si>
  <si>
    <t>КХ "Белое"</t>
  </si>
  <si>
    <t>СППК "Васильев-С"</t>
  </si>
  <si>
    <t>Дзержинский Итог</t>
  </si>
  <si>
    <t>ООО "Мечта"</t>
  </si>
  <si>
    <t>ИП глава К(Ф)Х Доброходов Дмитрий Николаевич</t>
  </si>
  <si>
    <t>СПК "Георгиевский"</t>
  </si>
  <si>
    <t>ООО "Малтат"</t>
  </si>
  <si>
    <t>ООО "Сибирская теплица"</t>
  </si>
  <si>
    <t>СКПК "Багульник"</t>
  </si>
  <si>
    <t>Наименование получателя</t>
  </si>
  <si>
    <t>ИП глава К(Ф)Х Лихтенвальд Александр Владимирович</t>
  </si>
  <si>
    <t>ИП Асабин Николай Халилович</t>
  </si>
  <si>
    <t>ИП глава К(Ф)Х Нефедов Сергей Викторович</t>
  </si>
  <si>
    <t xml:space="preserve">ИП глава К(Ф)Х Фроленко Олег Сергеевич </t>
  </si>
  <si>
    <t>ИП Гусев Андрей Витальевич</t>
  </si>
  <si>
    <t>ИП Баранов Николай Петрович</t>
  </si>
  <si>
    <t>ИП Кальбин Федор Владимирович</t>
  </si>
  <si>
    <t>СПК "Комаровка"</t>
  </si>
  <si>
    <t>ООО "СПК им.Калинина"</t>
  </si>
  <si>
    <t>ООО "Агролес"</t>
  </si>
  <si>
    <t>СПК "Рассвет"</t>
  </si>
  <si>
    <t>ООО "Мираж"</t>
  </si>
  <si>
    <t>ООО "Михайловское"</t>
  </si>
  <si>
    <t>СПК "Майский"</t>
  </si>
  <si>
    <t>СПК "Аленушка"</t>
  </si>
  <si>
    <t>ООО "Совхоз Елисеевский"</t>
  </si>
  <si>
    <t>Новоселовский</t>
  </si>
  <si>
    <t xml:space="preserve">ООО "Совхоз Николаевский" </t>
  </si>
  <si>
    <t>СПСК "Ивановский"</t>
  </si>
  <si>
    <t>ООО "Богуславское"</t>
  </si>
  <si>
    <t xml:space="preserve">ЗАО "Авдинское" </t>
  </si>
  <si>
    <t>ООО "Чулымское"</t>
  </si>
  <si>
    <t>ООО "Тасеевский элеватор"</t>
  </si>
  <si>
    <t>СХОППК "Клевер"</t>
  </si>
  <si>
    <t xml:space="preserve">ФХ "Русь"  </t>
  </si>
  <si>
    <t>Курагинский Итог</t>
  </si>
  <si>
    <t>Манский</t>
  </si>
  <si>
    <t xml:space="preserve">ООО Агрофирма "Учумская" </t>
  </si>
  <si>
    <t>ООО "Деметра"</t>
  </si>
  <si>
    <t xml:space="preserve">ООО "Эдем"  </t>
  </si>
  <si>
    <t>ОАО "Красноярскагроплем"</t>
  </si>
  <si>
    <t>СПК "Сывель"</t>
  </si>
  <si>
    <t>ГНУ Красноярский НИИСХ</t>
  </si>
  <si>
    <t>КГБОУ СПО "Минусинский С/х колледж</t>
  </si>
  <si>
    <t>СПК "Возрождение"</t>
  </si>
  <si>
    <t>СПК "Просторы Нички"</t>
  </si>
  <si>
    <t>ООО "Быстрянское"</t>
  </si>
  <si>
    <t xml:space="preserve">ЗАО "Интикульское" </t>
  </si>
  <si>
    <t>ООО "Иваново"</t>
  </si>
  <si>
    <t>ООО "Куллогское"</t>
  </si>
  <si>
    <t>ИП Гуров Денис Владимирович</t>
  </si>
  <si>
    <t>г .Красноярск</t>
  </si>
  <si>
    <t>ООО "Родник"</t>
  </si>
  <si>
    <t>Тюхтетский Итог</t>
  </si>
  <si>
    <t>Ужурский</t>
  </si>
  <si>
    <t>ООО "Елена"</t>
  </si>
  <si>
    <t>ИП глава К(Ф)Х Вавилова Татьяна Николаевна</t>
  </si>
  <si>
    <t>ИП глава К(Ф)Х Кулаков Олег Николаевич</t>
  </si>
  <si>
    <t>ИП глава К(Ф)Х Машуков Алексей Александрович</t>
  </si>
  <si>
    <t>Назаровский Итог</t>
  </si>
  <si>
    <t>Н-Ингашский</t>
  </si>
  <si>
    <t>КСПК "Содружество"</t>
  </si>
  <si>
    <t>ЗАО "Кондитерско-макаронная фабрика "Краскон"</t>
  </si>
  <si>
    <t>ООО "Боготольская птицефабрика"</t>
  </si>
  <si>
    <t>ИП Малинчик Наталья Витальевна</t>
  </si>
  <si>
    <t>ИП Тихоненко Александр Александрович</t>
  </si>
  <si>
    <t>ИП Стрижнева Наталья Михайловна</t>
  </si>
  <si>
    <t>ИП Воронов Виталий Геннадьевич</t>
  </si>
  <si>
    <t>ООО СПК "Золотая Нива"</t>
  </si>
  <si>
    <t>СППК "Ковчег"</t>
  </si>
  <si>
    <t>Тасеевский Итог</t>
  </si>
  <si>
    <t xml:space="preserve">Туруханский </t>
  </si>
  <si>
    <t>ООО "Игарская организация с/х и животноводства"</t>
  </si>
  <si>
    <t>ССПК "Березка"</t>
  </si>
  <si>
    <t>ООО "Анаш"</t>
  </si>
  <si>
    <t>ОАО "Шушенская птицефабрика"</t>
  </si>
  <si>
    <t>ООО "Ильичевское"</t>
  </si>
  <si>
    <t>ООО "Шушь"</t>
  </si>
  <si>
    <t>ООО "Милан"</t>
  </si>
  <si>
    <t>ООО "Ингашский"</t>
  </si>
  <si>
    <t>ООО "Агрохолдинг Камарчагский"</t>
  </si>
  <si>
    <t>Ермаковский</t>
  </si>
  <si>
    <t>Партизанский Итог</t>
  </si>
  <si>
    <t>Пировский</t>
  </si>
  <si>
    <t>ООО "Волоковое"</t>
  </si>
  <si>
    <t>ООО "Урожай"</t>
  </si>
  <si>
    <t>Большеулуйский Итог</t>
  </si>
  <si>
    <t>Дзержинский</t>
  </si>
  <si>
    <t>Бирилюсский</t>
  </si>
  <si>
    <t>Бирилюсский Итог</t>
  </si>
  <si>
    <t>Наименование района</t>
  </si>
  <si>
    <t>ООО "Жандат"</t>
  </si>
  <si>
    <t>ИП Казарян Айказ Оганесович</t>
  </si>
  <si>
    <t>ИП глава К(Ф)Х Шумков Владимир Александрович</t>
  </si>
  <si>
    <t>ИП Глава К(Ф)Х Худеев Андрей Георгиевич</t>
  </si>
  <si>
    <t>ООО "Луч-1"</t>
  </si>
  <si>
    <t>ООО "Телец"</t>
  </si>
  <si>
    <t>СППК "Оя"</t>
  </si>
  <si>
    <t>ООО СХП "Мустанг"</t>
  </si>
  <si>
    <t>Уярский</t>
  </si>
  <si>
    <t>ИП глава К(Ф)Х Хамуха Екатерина Юрьевна</t>
  </si>
  <si>
    <t xml:space="preserve">ЗАО "Имисское" </t>
  </si>
  <si>
    <t>ИП Бушин Георгий Александрович</t>
  </si>
  <si>
    <t>ИП глава К(Ф)Х Бендер Яков Викторович</t>
  </si>
  <si>
    <t>ЗАО "Приморье"</t>
  </si>
  <si>
    <t xml:space="preserve">ЗАО "Сибирь" </t>
  </si>
  <si>
    <t>федеральный бюджет</t>
  </si>
  <si>
    <t xml:space="preserve">КХ "Восход" </t>
  </si>
  <si>
    <t>ООО СХП "Мария"</t>
  </si>
  <si>
    <t>ООО СХП "Сургутская"</t>
  </si>
  <si>
    <t>ООО "Таежное"</t>
  </si>
  <si>
    <t>СПК "Красный Маяк"</t>
  </si>
  <si>
    <t>Сухобузимский</t>
  </si>
  <si>
    <t>Абанский</t>
  </si>
  <si>
    <t>КХ "Луч"</t>
  </si>
  <si>
    <t>ООО "Алексей"</t>
  </si>
  <si>
    <t>ИП Протасов Сергей Владимирович</t>
  </si>
  <si>
    <t>ИП Киселев Сергей Владимирович</t>
  </si>
  <si>
    <t>ИП Дремов Юрий Валерьевич</t>
  </si>
  <si>
    <t>ИП Ткаченко  Артем Иванович</t>
  </si>
  <si>
    <t>ИП Ильенко Ольга Владимировна</t>
  </si>
  <si>
    <t>ИП Журавлев Анатолий Иванович</t>
  </si>
  <si>
    <t>ИП глава К(Ф)Х Кензап Николай Игнатьевич</t>
  </si>
  <si>
    <t>КХ Яковлева Анатолия Михайловича</t>
  </si>
  <si>
    <t xml:space="preserve">СПК "Возрождение"             </t>
  </si>
  <si>
    <t>ООО "Доча"</t>
  </si>
  <si>
    <t>СПК "Зимник"</t>
  </si>
  <si>
    <t>ЗАО "Искра"</t>
  </si>
  <si>
    <t>ООО "Восток"</t>
  </si>
  <si>
    <t xml:space="preserve">СХА (колхоз) им. Ленина </t>
  </si>
  <si>
    <t>ООО "Овощи Сибири"</t>
  </si>
  <si>
    <t>ООО "Байтак"</t>
  </si>
  <si>
    <t>ООО "Элита"</t>
  </si>
  <si>
    <t>ИП Смирнова Наталья Владимировна</t>
  </si>
  <si>
    <t>ООО  ОПХ "Курагинское"</t>
  </si>
  <si>
    <t>ООО "Эльдар"</t>
  </si>
  <si>
    <t xml:space="preserve">ИП глава К(Ф)Х Войтюк Леонид Александрович     </t>
  </si>
  <si>
    <t>ИП глава К(Ф)Х Гаврин Валерий Васильевич</t>
  </si>
  <si>
    <t xml:space="preserve">ИП Есин Игорь Федорович </t>
  </si>
  <si>
    <t xml:space="preserve">ИП глава К(Ф)Х Фроленко Владимир Федорович   </t>
  </si>
  <si>
    <t>ИП Филиппов Николай Дмитриевич</t>
  </si>
  <si>
    <t>ИП глава К(Ф)Х Тихонов Николай Петрович</t>
  </si>
  <si>
    <t>ИП глава К(Ф)Х Исаков Вячеслав Николаевич</t>
  </si>
  <si>
    <t>ООО СХП "Анюта"</t>
  </si>
  <si>
    <t>ООО "Сибирская ферма"</t>
  </si>
  <si>
    <t xml:space="preserve">ЗАО "Сибирь-1" </t>
  </si>
  <si>
    <t>ИП глава К(Ф)Х Борисов Василий Васильевич</t>
  </si>
  <si>
    <t>ИП глава К(Ф)Х Каткова Светлана Федоровна</t>
  </si>
  <si>
    <t>ООО "Мачинское"</t>
  </si>
  <si>
    <t>Каратузский Итог</t>
  </si>
  <si>
    <t>Козульский</t>
  </si>
  <si>
    <t>ООО "Таежный"</t>
  </si>
  <si>
    <t>Козульский Итог</t>
  </si>
  <si>
    <t>Краснотуранский</t>
  </si>
  <si>
    <t>Ужурский Итог</t>
  </si>
  <si>
    <t>ООО "Кристалл"</t>
  </si>
  <si>
    <t>ООО "Возраждение"</t>
  </si>
  <si>
    <t>ООО "Алант"</t>
  </si>
  <si>
    <t>ООО "Весна"</t>
  </si>
  <si>
    <t>Канский Итог</t>
  </si>
  <si>
    <t>Каратузский</t>
  </si>
  <si>
    <t>ГПКК Каратузское ДРСУ</t>
  </si>
  <si>
    <t>ООО "Крестьяне"</t>
  </si>
  <si>
    <t>ЗАО "Гляденское"</t>
  </si>
  <si>
    <t xml:space="preserve">ООО "Агрофирма "Учумская" </t>
  </si>
  <si>
    <t>ФХ "Тюльпан"</t>
  </si>
  <si>
    <t>Таймырский</t>
  </si>
  <si>
    <t>ООО "Заря"</t>
  </si>
  <si>
    <t>СХПК "Ивановский"</t>
  </si>
  <si>
    <t>Минусинский</t>
  </si>
  <si>
    <t xml:space="preserve">СПК "Каначульский" </t>
  </si>
  <si>
    <t>ООО "Калиновское"</t>
  </si>
  <si>
    <t>ООО "Джед"</t>
  </si>
  <si>
    <t>ООО "КХ "Полесье"</t>
  </si>
  <si>
    <t>ООО "КХ "Голос"</t>
  </si>
  <si>
    <t>ООО "КХ "Кильчуг"</t>
  </si>
  <si>
    <t>ООО "Мария"</t>
  </si>
  <si>
    <t>ООО "Новый век"</t>
  </si>
  <si>
    <t>ООО "КХ "Родничок"</t>
  </si>
  <si>
    <t>ООО "Колос"</t>
  </si>
  <si>
    <t>ООО "Ермак"</t>
  </si>
  <si>
    <t>Уярский Итог</t>
  </si>
  <si>
    <t>Шарыповский</t>
  </si>
  <si>
    <t>ИП Радионов Сергей Николаевич</t>
  </si>
  <si>
    <t xml:space="preserve">ООО "Полесье"                     </t>
  </si>
  <si>
    <t>ООО "Ничкинское"</t>
  </si>
  <si>
    <t>ООО "Новотроицкое"</t>
  </si>
  <si>
    <t>ООО "Горный"</t>
  </si>
  <si>
    <t xml:space="preserve">ЗАО "Телекское" </t>
  </si>
  <si>
    <t>ООО "Ирина"</t>
  </si>
  <si>
    <t xml:space="preserve">СХПК "Весна" </t>
  </si>
  <si>
    <t>ОАО "Южный-2"</t>
  </si>
  <si>
    <t>ООО СХП "Восход"</t>
  </si>
  <si>
    <t>ООО "Эгида"</t>
  </si>
  <si>
    <t>ООО "Сибирь-Агро"</t>
  </si>
  <si>
    <t>ПССПК "Агросибком-М"</t>
  </si>
  <si>
    <t>ПССПК "Туран"</t>
  </si>
  <si>
    <t>СПК "Парус"</t>
  </si>
  <si>
    <t>ИП Лебедев Вадим Юрьевич</t>
  </si>
  <si>
    <t>ИП Чернов Владимир Павлович</t>
  </si>
  <si>
    <t>ИП Светлолобов Николай Борисович</t>
  </si>
  <si>
    <t>ССПК "Новая Авда"</t>
  </si>
  <si>
    <t>ССПК "Алина"</t>
  </si>
  <si>
    <t>СПССК "Зеленый дол"</t>
  </si>
  <si>
    <t>СППССК "Победа"</t>
  </si>
  <si>
    <t>СПСК "Беркут"</t>
  </si>
  <si>
    <t>СПССК "Феникс"</t>
  </si>
  <si>
    <t>СППК "Кедр"</t>
  </si>
  <si>
    <t>ИП Ходасевич Виктор Викторович</t>
  </si>
  <si>
    <t>ООО "Фортуна В"</t>
  </si>
  <si>
    <t>ООО "СПК Тимершик"</t>
  </si>
  <si>
    <t>ООО "Атамановское хлебоприемное предприятие"</t>
  </si>
  <si>
    <t>Шарыповский Итог</t>
  </si>
  <si>
    <t>Шушенский</t>
  </si>
  <si>
    <t>СПК "Зенит"</t>
  </si>
  <si>
    <t>СПК "Лада"</t>
  </si>
  <si>
    <t xml:space="preserve">ЗАО "Арефьевское" </t>
  </si>
  <si>
    <t xml:space="preserve">ЗАО "Большеуринское" </t>
  </si>
  <si>
    <t>ОАО "Канская сортоиспытательная станция"</t>
  </si>
  <si>
    <t xml:space="preserve">ОАО "Тайнинское" </t>
  </si>
  <si>
    <t>СПСК "Копейка"</t>
  </si>
  <si>
    <t xml:space="preserve">ООО СХП "Осень" </t>
  </si>
  <si>
    <t>СПК "Искра"</t>
  </si>
  <si>
    <t>Сухобузимский Итог</t>
  </si>
  <si>
    <t>Тасеевский</t>
  </si>
  <si>
    <t>Большемуртинский Итог</t>
  </si>
  <si>
    <t>Боготольский</t>
  </si>
  <si>
    <t>СПК "Юбилейный"</t>
  </si>
  <si>
    <t>СППК "Курага"</t>
  </si>
  <si>
    <t>Рыбинский Итог</t>
  </si>
  <si>
    <t>Ирбейский Итог</t>
  </si>
  <si>
    <t>Казачинский</t>
  </si>
  <si>
    <t>СОКПК "МТС "Партнер"</t>
  </si>
  <si>
    <t>СППК "Сатурн"</t>
  </si>
  <si>
    <t>ООО "Фаначет"</t>
  </si>
  <si>
    <t>СПК "Усолье"</t>
  </si>
  <si>
    <t xml:space="preserve">ООО "Емельяновское" </t>
  </si>
  <si>
    <t>ООО "Пахарь"</t>
  </si>
  <si>
    <t xml:space="preserve">СПК "Солонцы" </t>
  </si>
  <si>
    <t xml:space="preserve">ООО "Светлана" </t>
  </si>
  <si>
    <t>ИП Донзаленко Сергей Петрович</t>
  </si>
  <si>
    <t>ИП Кирдяшкин Василий Иванович</t>
  </si>
  <si>
    <t>ИП Тарнакин Иван Петрович</t>
  </si>
  <si>
    <t>ООО "Ноябрь-Агро"</t>
  </si>
  <si>
    <t>ИП Печенкин Александр Васильевич</t>
  </si>
  <si>
    <t>ООО АПК "Правильные продукты"</t>
  </si>
  <si>
    <t xml:space="preserve">ЗАО "Марининское" </t>
  </si>
  <si>
    <t>ИП Пашковский Олег Васильевич</t>
  </si>
  <si>
    <t>Канский</t>
  </si>
  <si>
    <t>ССПСК "Партнер"</t>
  </si>
  <si>
    <t>ООО "Зеленый мир"</t>
  </si>
  <si>
    <t>ООО "Исток"</t>
  </si>
  <si>
    <t>ООО "Кавказское"</t>
  </si>
  <si>
    <t>СПСК "Шошинский"</t>
  </si>
  <si>
    <t>Минусинский Итог</t>
  </si>
  <si>
    <t>Назаровский</t>
  </si>
  <si>
    <t>ООО "Провинция плюс"</t>
  </si>
  <si>
    <t>ИП Глущенко Вячеслав Михайлович</t>
  </si>
  <si>
    <t>Саянский Итог</t>
  </si>
  <si>
    <t xml:space="preserve">СПК "Маяк-2" </t>
  </si>
  <si>
    <t>ООО "Агросфера"</t>
  </si>
  <si>
    <t>СППК "Мукомол"</t>
  </si>
  <si>
    <t>Ачинский Итог</t>
  </si>
  <si>
    <t>Балахтинский</t>
  </si>
  <si>
    <t>Ермаковский Итог</t>
  </si>
  <si>
    <t>Идринский</t>
  </si>
  <si>
    <t>СПСК Центральный</t>
  </si>
  <si>
    <t>Краснотуранский Итог</t>
  </si>
  <si>
    <t>Курагинский</t>
  </si>
  <si>
    <t>ИП глава К(Ф)Х Брамман Иван Карлович</t>
  </si>
  <si>
    <t>СПК "Весна-плюс"</t>
  </si>
  <si>
    <t>ООО "Мильман-Агро"</t>
  </si>
  <si>
    <t>ОАО "Молоко"</t>
  </si>
  <si>
    <t>СППК "Сельский"</t>
  </si>
  <si>
    <t>ООО "ТРЭНЭКС"</t>
  </si>
  <si>
    <t>СПК "Спектр"</t>
  </si>
  <si>
    <t>ИП Андропов Иван Иванович</t>
  </si>
  <si>
    <t>ИП Костюнин Александр Борисович</t>
  </si>
  <si>
    <t>ИП Васильев Андрей Федорович</t>
  </si>
  <si>
    <t>ИП Свищёва Валентина Ефимовна</t>
  </si>
  <si>
    <t>КХ "Колос"</t>
  </si>
  <si>
    <t>ООО "Шуваево-1"</t>
  </si>
  <si>
    <t>ООО "Ягодное"</t>
  </si>
  <si>
    <t>ИП Архипов Андрей Николаевич</t>
  </si>
  <si>
    <t>ИП Горемыкин Владимир Валерьевич</t>
  </si>
  <si>
    <t>ИП глава К(Ф)Х  Ротэрмель Сергей Викторович</t>
  </si>
  <si>
    <t>ССПК "Еловский"</t>
  </si>
  <si>
    <t>СПК "Дороховское-Алтатское"</t>
  </si>
  <si>
    <t>ООО "Возрождение"</t>
  </si>
  <si>
    <t>ИП глава К(Ф)Х Юдин Владимир Иванович</t>
  </si>
  <si>
    <t xml:space="preserve">ИП Ковалев Вадим Владимирович </t>
  </si>
  <si>
    <t>ИП Рейтер Виктор Робертович</t>
  </si>
  <si>
    <t>г. Красноярск Итог</t>
  </si>
  <si>
    <t>ООО "Мокрый Ельник"</t>
  </si>
  <si>
    <t xml:space="preserve">ФХ "Союз" </t>
  </si>
  <si>
    <t>ИП Харкевич Нурия Шайхуловна</t>
  </si>
  <si>
    <t>ИП Тимофеева Зоя Владимировна</t>
  </si>
  <si>
    <t>ИП Ротэрмель Александр Викторович</t>
  </si>
  <si>
    <t xml:space="preserve">СПК "Альгинский" </t>
  </si>
  <si>
    <t>СПК "Восход"</t>
  </si>
  <si>
    <t xml:space="preserve">ЗАО "Новоселовское" </t>
  </si>
  <si>
    <t>Емельяновский</t>
  </si>
  <si>
    <t>СПК "Диана"</t>
  </si>
  <si>
    <t>ООО "Аграрно-Промышленный Комплекс "Сибирь"</t>
  </si>
  <si>
    <t>ООО "Объединение АгроЭлита"</t>
  </si>
  <si>
    <t>Совхоз "Боготольский"</t>
  </si>
  <si>
    <t xml:space="preserve">КХ "Елена" </t>
  </si>
  <si>
    <t>ООО СХП "Эколпрод"</t>
  </si>
  <si>
    <t>Емельяновский Итог</t>
  </si>
  <si>
    <t>Енисейский</t>
  </si>
  <si>
    <t>ООО "Надежда"</t>
  </si>
  <si>
    <t xml:space="preserve">ООО "Тигрицкое" </t>
  </si>
  <si>
    <t>ООО "Эдэзи"</t>
  </si>
  <si>
    <t>Состреженковский Алексей Викторович</t>
  </si>
  <si>
    <t>ИП глава К(Ф)Х Макаров Василий Алексеевич</t>
  </si>
  <si>
    <t>ИП глава К(Ф)Х Ребекин Николай Николаевич</t>
  </si>
  <si>
    <t>ИП Мухлынин Владимир Иванович</t>
  </si>
  <si>
    <t>ИП Прохоренко Юрий Владимирович</t>
  </si>
  <si>
    <t>СПСК "МяСКО"</t>
  </si>
  <si>
    <t>СПоК "Частоостровский"</t>
  </si>
  <si>
    <t>ООО "Ильинка"</t>
  </si>
  <si>
    <t>Пировский Итог</t>
  </si>
  <si>
    <t>Рыбинский</t>
  </si>
  <si>
    <t xml:space="preserve">Субсидии на  компенсацию части затрат на приобретение племенного материала, двухпородных гибридных ремонтных свинок для воспроизводства </t>
  </si>
  <si>
    <t>СПСК "Агровента"</t>
  </si>
  <si>
    <t>ЗАО Агропромышленный холдинг "АгроЯрск"</t>
  </si>
  <si>
    <t>ИП Глава К(Ф)Х Морозов Иван Анатольевич</t>
  </si>
  <si>
    <t>КХ "Озерное"</t>
  </si>
  <si>
    <t>ИП глава К(Ф)Х Зайцева Людмила Владимировна</t>
  </si>
  <si>
    <t>ИП глава К(Ф)Х Фролов Евгений Николаевич</t>
  </si>
  <si>
    <t>ИП глава К(Ф)Х Сидоренко Елена Андреевна</t>
  </si>
  <si>
    <t>ИП глава К(Ф)Х Бесолов Ахсарбек Музаферович</t>
  </si>
  <si>
    <t>ООО "ФХ "Раздолье"</t>
  </si>
  <si>
    <t>ООО "КХ "Колос"</t>
  </si>
  <si>
    <t>ООО "Кентавр"</t>
  </si>
  <si>
    <t>ООО "АгроЭлита"</t>
  </si>
  <si>
    <t>ООО "Раздолье"</t>
  </si>
  <si>
    <t>ИП Федоткин Александр Николаевич</t>
  </si>
  <si>
    <t xml:space="preserve">КХ "Заря"  </t>
  </si>
  <si>
    <t>СППК "Мясной дом"</t>
  </si>
  <si>
    <t>ИП глава К(Ф)Х Полуситов Михаил Михайлович</t>
  </si>
  <si>
    <t>ЗАО "Кирова"</t>
  </si>
  <si>
    <t>ООО "Заготовительно-производственный комплекс крайпотребсоюза"</t>
  </si>
  <si>
    <t>ИП глава К(Ф)Х Иванов Евгений Владимирович</t>
  </si>
  <si>
    <t>Краевое государственное автономное образовательное учреждение "Емельяновский дорожно-строительный техникум"</t>
  </si>
  <si>
    <t>СПСК "Виктория"</t>
  </si>
  <si>
    <t>ПССПК "ВЕГАС"</t>
  </si>
  <si>
    <t>ИП глава К(Ф)Х Кузьменков Алексей Васильевич</t>
  </si>
  <si>
    <t>ООО "Старт"</t>
  </si>
  <si>
    <t>ИП глава К(Ф)Х Мухаметшин Вагиз Харисович</t>
  </si>
  <si>
    <t>ИП глава К(Ф)Х Катаев Афанасий Елиферьевич</t>
  </si>
  <si>
    <t>ИП глава К(Ф)Х Сладченко Александр Федорович</t>
  </si>
  <si>
    <t>ИП глава К(Ф)Х Липнягова Зоя Ильинична</t>
  </si>
  <si>
    <t>ИП глава КФ)Х Апранович Наталья Владимировна</t>
  </si>
  <si>
    <t>ИП глава К(Ф)Х Михайлов Александр Сергеевич</t>
  </si>
  <si>
    <t>ИП глава К(Ф)Х Черкасов Владимир Михайлович</t>
  </si>
  <si>
    <t>ИП глава К(Ф)Х Спирин Николай Васильевич</t>
  </si>
  <si>
    <t>ИП глава К(Ф)Х Астапов Андрей Сергеевич</t>
  </si>
  <si>
    <t>ИП глава К(Ф)Х Коротченко Виталий Александрович</t>
  </si>
  <si>
    <t>ИП глава К(Ф)Х Шмидт Евгений Арнович</t>
  </si>
  <si>
    <t>ИП глава К(Ф)Х Шаров Владимир Владимирович</t>
  </si>
  <si>
    <t>ИП глава К(Ф)Х Балтман Яна Оскаровна</t>
  </si>
  <si>
    <t>ООО "Саянмолоко"</t>
  </si>
  <si>
    <t>ООО Племзавод "Таежный"</t>
  </si>
  <si>
    <t>ООО "АС"</t>
  </si>
  <si>
    <t>КХ "Берта"</t>
  </si>
  <si>
    <t>КХ "Калачик"</t>
  </si>
  <si>
    <t>КХ "Земляк"</t>
  </si>
  <si>
    <t>КХ "Любава"</t>
  </si>
  <si>
    <t>ИП Пугачев Александр Михайлович</t>
  </si>
  <si>
    <t>ООО СХП "Зион-Агро"</t>
  </si>
  <si>
    <t>ИП Хромов Константин Юрьевич</t>
  </si>
  <si>
    <t>ИП Хачатрян Овсеп Хачатурович</t>
  </si>
  <si>
    <t xml:space="preserve">КХ "Виншу" </t>
  </si>
  <si>
    <t>ИП Шапкин Александр Михайлович</t>
  </si>
  <si>
    <t>ИП Алиев Маариф Бахрам Оглы</t>
  </si>
  <si>
    <t xml:space="preserve">СХА "Колхоз Заветы Ленина" </t>
  </si>
  <si>
    <t>ООО АПП "Филимоновская овощая компания"</t>
  </si>
  <si>
    <t>КХ "Шпаковский К"</t>
  </si>
  <si>
    <t>ИП глава К(Ф)Х Манкевич Александр Иванович</t>
  </si>
  <si>
    <t>ИП Каковкин Виктор Леонидович</t>
  </si>
  <si>
    <t>ООО "Сагайское"</t>
  </si>
  <si>
    <t>КХ "Наумово"</t>
  </si>
  <si>
    <t xml:space="preserve">НАО "Крутоярское" </t>
  </si>
  <si>
    <t>ООО АПК "Колос"</t>
  </si>
  <si>
    <t>ООО "СХП "Дары Малиновки"</t>
  </si>
  <si>
    <t>К(Ф)Х Еремеева Виктора Георгиевича</t>
  </si>
  <si>
    <t>АО "Алтатское"</t>
  </si>
  <si>
    <t>ИП глава К(Ф)Х Багиров Агиль Нуру Оглы</t>
  </si>
  <si>
    <t xml:space="preserve">ФГУП "Курагинское" </t>
  </si>
  <si>
    <t xml:space="preserve">ФГУП "Минусинское" </t>
  </si>
  <si>
    <t xml:space="preserve">ФГУП "Михайловское" </t>
  </si>
  <si>
    <t>ЗАО "Светлолобовское"</t>
  </si>
  <si>
    <t>К(Ф)Х "Фадеево"</t>
  </si>
  <si>
    <t>ОАО "Племзавод Красный маяк"</t>
  </si>
  <si>
    <t>АО "Тубинск"</t>
  </si>
  <si>
    <t>ООО Агрокомплекс "Минусинский"</t>
  </si>
  <si>
    <t>ССПК "Флагман"</t>
  </si>
  <si>
    <t>ПССПК "Тесь"</t>
  </si>
  <si>
    <t>СППК "Родниковский"</t>
  </si>
  <si>
    <t>ИП глава К(Ф)Х Вдовенко Николай Леонидович</t>
  </si>
  <si>
    <t>ИП глава К(Ф)Х Власов Виктор Александрович</t>
  </si>
  <si>
    <t xml:space="preserve">АО "Белый Яр" </t>
  </si>
  <si>
    <t>КХ Кочнева Александра Лаврентьевича</t>
  </si>
  <si>
    <t xml:space="preserve">АО "Ильинское" </t>
  </si>
  <si>
    <t>ИП Глава К(Ф)Х Гудушаури Зураб Михайлович</t>
  </si>
  <si>
    <t>ИП Глава К(Ф)Х Тихомирова Татьяна Александровна</t>
  </si>
  <si>
    <t>ИП Глава К(Ф)Х Клюкин Алексей Вячеславович</t>
  </si>
  <si>
    <t>ИП глава К(Ф)Х Ахмедов Шахид Яхья Оглы</t>
  </si>
  <si>
    <t>ИП глава К(Ф)Х Пиотровская Оксана Александровна</t>
  </si>
  <si>
    <t>ИП Барауля Альбина Александровна</t>
  </si>
  <si>
    <t>ООО "Джокер"</t>
  </si>
  <si>
    <t>ИП глава К(Ф)Х Юткин Николай Петрович</t>
  </si>
  <si>
    <t>ИП глава К(Ф)Х Баринова Надежда Сергеевна</t>
  </si>
  <si>
    <t>ИП глава К(Ф)Х Агафонова Лариса Петровна</t>
  </si>
  <si>
    <t>ООО "Фортуна-М"</t>
  </si>
  <si>
    <t>ООО "Завод минеральной воды и безалкогольных напитков"</t>
  </si>
  <si>
    <t>КГБПОУ "Балахтинский аграрный техникум"</t>
  </si>
  <si>
    <t>ПОУ №Техникум горных разработок им.А.П. Астафьева</t>
  </si>
  <si>
    <t>КГБПОУ Уярский Сельскохозяйственный техникум</t>
  </si>
  <si>
    <t>ИП глава К(Ф)Х Емельянова Людмила Васильевна</t>
  </si>
  <si>
    <t>ИП глава К(Ф)Х Пермяков Алексей Анатольевич</t>
  </si>
  <si>
    <t>ООО "Хлеб-2000"</t>
  </si>
  <si>
    <t>ООО "Гляденское хлебоприемное"</t>
  </si>
  <si>
    <t>СППК "Хороший"</t>
  </si>
  <si>
    <t>ИП глава К(Ф)Х Шелегова Людмила Викторовна</t>
  </si>
  <si>
    <t>ИП глава К(Ф)Х Квасова Нина Владимировна</t>
  </si>
  <si>
    <t>СПССК "Лидер"</t>
  </si>
  <si>
    <t>СПССК"Сибирское Беловодье"</t>
  </si>
  <si>
    <t>ИП Калюга Татьяна Владимировна</t>
  </si>
  <si>
    <t>ООО Фирма "Лагуна-М"</t>
  </si>
  <si>
    <t>ООО "Филимоновский молочноконсервный комбинат"</t>
  </si>
  <si>
    <t>ООО Техно-торговый центр "Славяне"</t>
  </si>
  <si>
    <t xml:space="preserve">АО "Мокрушенское" </t>
  </si>
  <si>
    <t>АО "Березовское"</t>
  </si>
  <si>
    <t>Субсидии базовым хозяйствам на компенсацию части затрат, связанных с выплатой заработной платы студентам, в случае их трудоустройства по срочному трудовому договору в период прохождения производственной практики</t>
  </si>
  <si>
    <t>Субсидии базовым хозяйствам на компенсацию затрат, связанных с доплатой работнику базового хозяйства, осуществляющему руководство производственной практикой студента</t>
  </si>
  <si>
    <t>ООО "СПП Красагропродукт"</t>
  </si>
  <si>
    <t>ООО "Уярское ХПП"</t>
  </si>
  <si>
    <t>ИП глава К(Ф)Х  Бобков Иван Иванович</t>
  </si>
  <si>
    <t>ИП глава К(Ф)Х Бартницкий Федор Федорович</t>
  </si>
  <si>
    <t>ИП глава К(Ф)Х Вейхлей Сергей Александрович</t>
  </si>
  <si>
    <t>ИП глава К(Ф)Х Гулевич Александр Васильевич</t>
  </si>
  <si>
    <t>ИП глава К(Ф)Х Киселев Алексей Владимирович</t>
  </si>
  <si>
    <t>ИП глава К(Ф)Х Ковалев Юрий Дмитриевич</t>
  </si>
  <si>
    <t>ИП глава К(Ф)Х Лейднер Андрей Карлович</t>
  </si>
  <si>
    <t>ИП глава К(Ф)Х Лейднер Данила Карлович</t>
  </si>
  <si>
    <t>ИП глава К(Ф)Х Наровский Михаил Владимирович</t>
  </si>
  <si>
    <t>ИП глава К(Ф)Х Павлюченко Николай Иванович</t>
  </si>
  <si>
    <t>ИП глава К(Ф)Х Свирко Андрей Степанович</t>
  </si>
  <si>
    <t>ИП глава К(Ф)Х Синькевич Владимир Михайлович</t>
  </si>
  <si>
    <t>ИП глава К(Ф)Х Смолин Владимир Иванович</t>
  </si>
  <si>
    <t>ИП глава К(Ф)Х Ходкин Евгений Витальевич</t>
  </si>
  <si>
    <t>ИП глава К(Ф)Х Ходос Станислав Александрович</t>
  </si>
  <si>
    <t>ИП глава К(Ф)Х Холбеков Виталий Айдарович</t>
  </si>
  <si>
    <t>ИП глава К(Ф)Х Кибан Ригарт Карлович</t>
  </si>
  <si>
    <t>ИП глава К(Ф)Х Хохлов Вячеслав Евгеньевич</t>
  </si>
  <si>
    <t>ИП глава К(Ф)Х Швабов Виктор Федорович</t>
  </si>
  <si>
    <t>ИП глава К(Ф)Х Беликов Николай Николаевич</t>
  </si>
  <si>
    <t>ИП глава К(Ф)Х Шеметько Александр Васильевич</t>
  </si>
  <si>
    <t>ИП глава К(Ф)Х Земскова Елена Петровна</t>
  </si>
  <si>
    <t>ИП глава К(Ф)Х Примеров Владимир Петрович</t>
  </si>
  <si>
    <t>ИП глава К(Ф)Х Алексеев Владимир Викторович</t>
  </si>
  <si>
    <t>ИП глава К(Ф)Х Андрюхов Сергей Константинович</t>
  </si>
  <si>
    <t>ИП глава К(Ф)Х Арутюнян Корюн Исраели</t>
  </si>
  <si>
    <t>ИП глава К(Ф)Х Кильтре Ольга Владимировна</t>
  </si>
  <si>
    <t>ИП глава К(Ф)Х Стась Геннадий Николаевич</t>
  </si>
  <si>
    <t>ИП глава К(Ф)Х Ушаков Александр Алексеевич</t>
  </si>
  <si>
    <t>ИП глава К(Ф)Х Шейнмаер Виктор Александрович</t>
  </si>
  <si>
    <t>ИП глава К(Ф)Х Юриков Александр Владимирович</t>
  </si>
  <si>
    <t>ООО "КХ Родник"</t>
  </si>
  <si>
    <t>ИП глава К(Ф)Х  Арутюнян Самвел Размикович</t>
  </si>
  <si>
    <t>ИП глава К(Ф)Х Бурчян Анжела Михайловна</t>
  </si>
  <si>
    <t>ИП глава К(Ф)Х Владыкин Андрей Сергеевич</t>
  </si>
  <si>
    <t>ИП глава К(Ф)Х Воронежцева Юлия Викторовна</t>
  </si>
  <si>
    <t>ИП глава К(Ф)Х Воронов Евгений Геннадьевич</t>
  </si>
  <si>
    <t>ИП глава К(Ф)Х Грицай Владимир Николаевич</t>
  </si>
  <si>
    <t>ИП глава К(Ф)Х Дербека Леонид Григорьевич</t>
  </si>
  <si>
    <t>ИП глава К(Ф)Х Дмитриева Лариса Николаевна</t>
  </si>
  <si>
    <t>ИП глава К(Ф)Х Коледа Сергей Сергеевич</t>
  </si>
  <si>
    <t>ИП глава К(Ф)Х Минчик Владимир Михайлович</t>
  </si>
  <si>
    <t>ИП глава К(Ф)Х Морозов Алексей Николаевич</t>
  </si>
  <si>
    <t>ИП глава К(Ф)Х Новосельский Вячеслав Николаевич</t>
  </si>
  <si>
    <t>ИП глава К(Ф)Х Новосельский Николай Иванович</t>
  </si>
  <si>
    <t>ИП глава К(Ф)Х Питик Степан Юрьевич</t>
  </si>
  <si>
    <t>ИП глава К(Ф)Х Прадедович Евгений Олегович</t>
  </si>
  <si>
    <t>ИП Глава К(Ф)Х Чеботников Антон Александрович</t>
  </si>
  <si>
    <t>ИП Глава К(Ф)Х Якушевский Евгений Станиславович</t>
  </si>
  <si>
    <t>ИП глава К(Ф)Х Захарьева Алефтина Ивановна</t>
  </si>
  <si>
    <t>ООО "Агропромышленный Холдинг Огород"</t>
  </si>
  <si>
    <t>ОАО "Птицефабрика Бархатовская"</t>
  </si>
  <si>
    <t>ИП глава К(Ф)Х Джалилов Турал Исмаил оглы</t>
  </si>
  <si>
    <t>ФКУ ОИК-40 ГУФСИН России по Красноярскому краю</t>
  </si>
  <si>
    <t>ИП глава К(Ф)Х Горбунов Валерий Александрович</t>
  </si>
  <si>
    <t>ИП глава К(Ф)Х Добрынин Владимир Витальевич</t>
  </si>
  <si>
    <t>ИП глава К(Ф)Х Краскович Леонид Константинович</t>
  </si>
  <si>
    <t>ИП глава К(Ф)Х Кульба Сергей Петрович</t>
  </si>
  <si>
    <t>ИП глава К(Ф)Х Нарутто Владимир Викторович</t>
  </si>
  <si>
    <t>ИП глава К(Ф)Х Николаев Виталий Иванович</t>
  </si>
  <si>
    <t>ИП глава К(Ф)Х Отап Владимир Валерьевич</t>
  </si>
  <si>
    <t>ИП глава К(Ф)Х Хасанов Абдухолик Махсудович</t>
  </si>
  <si>
    <t>ИП глава К(Ф)Х Украинский Виктор Самуилович</t>
  </si>
  <si>
    <t>ИП глава К(Ф)Х Яковлев Владимир Васильевич</t>
  </si>
  <si>
    <t>ИП глава К(Ф)Х Титов Евгений Михайлович</t>
  </si>
  <si>
    <t>АО "Свинокомплекс "Красноярский"</t>
  </si>
  <si>
    <t>ИП глава К(Ф)Х Денисов Виталий Николаевич</t>
  </si>
  <si>
    <t>ИП глава К(Ф)Х Гнетов Иван Николаевич</t>
  </si>
  <si>
    <t>ИП глава К(Ф)Х Макулов Евгений Ваильевич</t>
  </si>
  <si>
    <t>ИП глава К(Ф)Х Сивцов Владимир Михайлович</t>
  </si>
  <si>
    <t>ИП глава К(Ф)Х Коротченко Андрей Витальевич</t>
  </si>
  <si>
    <t>ИП Глава К(Ф)Х Габидулин Асхат Набиулович</t>
  </si>
  <si>
    <t xml:space="preserve">ИП глава К(Ф)Х Генза Александр Олегович                                </t>
  </si>
  <si>
    <t xml:space="preserve">ИП глава К(Ф)Х Генза Алексей Олегович  </t>
  </si>
  <si>
    <t>ИП глава К(Ф)Х Ишмухаметов Искендар Нурулович</t>
  </si>
  <si>
    <t>ИП глава К(Ф)Х Костюченко Вячеслав Владимирович</t>
  </si>
  <si>
    <t>ИП глава (К(Ф)Х) Михайлова Татьяна Павловна</t>
  </si>
  <si>
    <t>ИП глава К(Ф)Х Зинкевич Виктор Михайлович</t>
  </si>
  <si>
    <t>ИП глава К(Ф)Х Каракулов Сергей Николаевич</t>
  </si>
  <si>
    <t>ИП глава К(Ф)Х Мартынов Дмитрий Викторович</t>
  </si>
  <si>
    <t>ИП глава К(Ф)Х Марфин Николай Николаевич</t>
  </si>
  <si>
    <t>ИП глава К(Ф)Х Султонов Абдували Анварович</t>
  </si>
  <si>
    <t>ИП глава К(Ф)Х Тимофеева Татьяна Матвеевна</t>
  </si>
  <si>
    <t>ИП глава К(Ф)Х Аверьянов Дмитрий Петрович</t>
  </si>
  <si>
    <t>ИП глава К(Ф)Х Воронцова Людмила Александровна</t>
  </si>
  <si>
    <t>ИП глава К(Ф)Х Пасынков Михаил Михайлович</t>
  </si>
  <si>
    <t xml:space="preserve">К(Ф)Х "Таганай"                     </t>
  </si>
  <si>
    <t>ИП глава К(Ф)Х Баурин Максим Анатольевич</t>
  </si>
  <si>
    <t>ИП глава К(Ф)Х Апанасенко Сергей Сергеевич</t>
  </si>
  <si>
    <t>ИП глава К(Ф)Х Дубровный Андрей Николаевич</t>
  </si>
  <si>
    <t>ИП глава К(Ф)Х Похабов Валерий Федорович</t>
  </si>
  <si>
    <t>ИП глава К(Ф)Х Совин Валерий Семенович</t>
  </si>
  <si>
    <t>ИП глава К(Ф)Х Суетнов Виктор Владимирович</t>
  </si>
  <si>
    <t>ИП глава К(Ф)Х Федотов Сергей Викторович</t>
  </si>
  <si>
    <t>ИП глава К(Ф)Х Чевелюк Антон Андреевич</t>
  </si>
  <si>
    <t>ИП глава К(Ф)Х Шихздаев Закидин Раудинович</t>
  </si>
  <si>
    <t>ИП глава  К(Ф)Х Гончарова Нина Федоровна</t>
  </si>
  <si>
    <t>ИП глава  К(Ф)Х Евлампиев Иван Иванович</t>
  </si>
  <si>
    <t>ИП глава К(Ф)Х Магеря Ольга Борисовна</t>
  </si>
  <si>
    <t>ИП глава К(Ф)Х Миллер Юрий Владимирович</t>
  </si>
  <si>
    <t>СППК "БУСКо"</t>
  </si>
  <si>
    <t>ОАО "Птицефабрика "Заря"</t>
  </si>
  <si>
    <t>АО Племзавод  "Шуваевский"</t>
  </si>
  <si>
    <t>ИП глава К(Ф)Х Ерошин Василий Вячеславович</t>
  </si>
  <si>
    <t>ИП глава К(Ф)Х Алиев Азад Талыб оглы</t>
  </si>
  <si>
    <t>СПСК "Агросибирь"</t>
  </si>
  <si>
    <t>ИП Сафаров Башир Али оглы</t>
  </si>
  <si>
    <t>ИП глава К(Ф)Х Чирков Валентин Васильевич</t>
  </si>
  <si>
    <t>ИП глава К(Ф)Х Подлевский Александр Васильевич</t>
  </si>
  <si>
    <t>СПоК "Мяско"</t>
  </si>
  <si>
    <t xml:space="preserve">СХПК "Им. VII съезда Советов" </t>
  </si>
  <si>
    <t>ИП глава К(Ф)Х Анохин Александр Анатольевич</t>
  </si>
  <si>
    <t>ИП глава К(Ф)Х Беляшов Анатолий Александрович</t>
  </si>
  <si>
    <t>ИП глава К(Ф)Х Мишуренко Александр Петрович</t>
  </si>
  <si>
    <t>ИП глава К(Ф)Х Семенюк Андрей Валентинович</t>
  </si>
  <si>
    <t>ИП глава К(Ф)Х Слепенков Валерий Александрович</t>
  </si>
  <si>
    <t>ИП глава К(Ф)Х Соседкин Сергей Иванович</t>
  </si>
  <si>
    <t>ИП глава К(Ф)Х Тулин Дмитрий Николаевич</t>
  </si>
  <si>
    <t>ИП глава К(Ф)Х Корольков Сергей Григорьевич</t>
  </si>
  <si>
    <t>ИП глава К(Ф)Х Шилин Александр Степанович</t>
  </si>
  <si>
    <t>ИП глава К(Ф)Х Шкет Александр Дмитриевич</t>
  </si>
  <si>
    <t>ИП глава К(Ф)Х Симашкевич Виктор Александрович</t>
  </si>
  <si>
    <t>ИП глава К(Ф)Х Чонка Нина Владимировна</t>
  </si>
  <si>
    <t>ИП глава К(Ф)Х Ткаченко Григорий Геннадьевич</t>
  </si>
  <si>
    <t>К(Ф)Х "Земля"</t>
  </si>
  <si>
    <t xml:space="preserve">К(Ф)Х "Пахарь"                    </t>
  </si>
  <si>
    <t xml:space="preserve">К(Ф)Х "Шкет" </t>
  </si>
  <si>
    <t>К(Ф)Х Овчинникова Виктора Прокопьевича</t>
  </si>
  <si>
    <t>СХА колхоз "Новая жизнь"</t>
  </si>
  <si>
    <t>Ассоциация КХ "Червянское"</t>
  </si>
  <si>
    <t>ИП глава К(Ф)Х Богданов Евгений Владимирович</t>
  </si>
  <si>
    <t>ИП глава К(Ф)Х Гузенков Михаил Иванович</t>
  </si>
  <si>
    <t>ИП глава К(Ф)Х Каминская Ирина Владимировна</t>
  </si>
  <si>
    <t>ИП глава К(Ф)Х Ковригин Александр Александрович</t>
  </si>
  <si>
    <t>ИП глава К(Ф)Х Кононенко Евгений Николаевич</t>
  </si>
  <si>
    <t>ИП глава К(Ф)Х Кулашков Владимир Иванович</t>
  </si>
  <si>
    <t>ИП глава К(Ф)Х Малетин Роман Сергеевич</t>
  </si>
  <si>
    <t>ИП глава К(Ф)Х Мирошниченко Михаил Сергеевич</t>
  </si>
  <si>
    <t>ИП глава К(Ф)Х Митягин Николай Викторович</t>
  </si>
  <si>
    <t>ИП глава К(Ф)Х Новоселов Сергей Владимирович</t>
  </si>
  <si>
    <t>ИП глава К(Ф)Х Роглет Ольга Викторовна</t>
  </si>
  <si>
    <t>ИП Глава К(Ф)Х Селиванов Юрий Викторович</t>
  </si>
  <si>
    <t>ИП глава К(Ф)Х Миллер  Галина Ивановна</t>
  </si>
  <si>
    <t>ИП глава К(Ф)Х Жандоров Владимир Владимирович</t>
  </si>
  <si>
    <t>ИП глава К(Ф)Х Стась Алексей Леонидович</t>
  </si>
  <si>
    <t xml:space="preserve">ИП Безматерных Олег Сергеевич </t>
  </si>
  <si>
    <t xml:space="preserve"> </t>
  </si>
  <si>
    <t>ИП глава К(Ф)Х Цебиков Роман Владимирович</t>
  </si>
  <si>
    <t>ИП глава К(Ф)Х Шилейкис Виктор Петрас</t>
  </si>
  <si>
    <t>АО Агрохолдинг "Сибиряк"</t>
  </si>
  <si>
    <t>ИП глава К(Ф)Х Зенкевич Роман Геннадьевич</t>
  </si>
  <si>
    <t>ООО "Эльбрус"</t>
  </si>
  <si>
    <t>ООО СХП "Бузим-Агро"</t>
  </si>
  <si>
    <t>ЗАО ПЗ "Соболевский"</t>
  </si>
  <si>
    <t>ИП глава К(Ф)Х Курьянович Алексей Егорович</t>
  </si>
  <si>
    <t xml:space="preserve">ООО "Содружество" </t>
  </si>
  <si>
    <t>ИП глава К(Ф)Х Сумин Михаил Васильевич</t>
  </si>
  <si>
    <t>ИП глава К(Ф)Х Мамедов Артем Гарибович</t>
  </si>
  <si>
    <t>ИП глава К(Ф)Х Мирзаеви Дилгам Нушраван оглы</t>
  </si>
  <si>
    <t>ИП глава К(Ф)Х Мурадян Усик Альбертович</t>
  </si>
  <si>
    <t>ИП глава К(Ф)Х Чернов Максим Владимирович</t>
  </si>
  <si>
    <t>ИП Нурутдинов Рафаэль Галиевич</t>
  </si>
  <si>
    <t>ООО совхоз "Денисовский"</t>
  </si>
  <si>
    <t>ИП глава К(Ф)Х Аракелян Армен Агасиевич</t>
  </si>
  <si>
    <t>ИП глава К(Ф)Х Ибрагимов Пашша Сулейманович</t>
  </si>
  <si>
    <t>ИП глава К(Ф)Х Бугачев Владимир Исакович</t>
  </si>
  <si>
    <t>ИП глава К(Ф)Х Воробьев Николай Афанасьевич</t>
  </si>
  <si>
    <t>ИП глава К(Ф)Х Козлов Дмитрий Викторович</t>
  </si>
  <si>
    <t>ИП глава К(Ф)Х Гогунский Николай Васильевич</t>
  </si>
  <si>
    <t>ИП глава К(Ф)Х Гесс Владимир Готфридович</t>
  </si>
  <si>
    <t>ИП глава К(Ф)Х Усенко Николай Яковлевич</t>
  </si>
  <si>
    <t>ИП глава К(Ф)Х Щипакина Елена Сергеевна</t>
  </si>
  <si>
    <t>ИП глава К(Ф)Х Панов Борис Александрович</t>
  </si>
  <si>
    <t>ИП глава К(Ф)Х Лапо Инна Владимировна</t>
  </si>
  <si>
    <t>ИП глава К(Ф)Х Полыхань Никита Владимирович</t>
  </si>
  <si>
    <t>ИП глава К(Ф)Х Терешкова Евгения Александровна</t>
  </si>
  <si>
    <t>ООО "ПромМолоко"</t>
  </si>
  <si>
    <t>ИП глава К(Ф)Х Радзюк Андрей Александрович</t>
  </si>
  <si>
    <t>АО "Подсосенское"</t>
  </si>
  <si>
    <t>ИП глава К(Ф)Х Баранов Александр Юрьевич</t>
  </si>
  <si>
    <t>ООО "Енисей"</t>
  </si>
  <si>
    <t>ССПК "Фортуна"</t>
  </si>
  <si>
    <t>СПССК "Енисей"</t>
  </si>
  <si>
    <t>СПСК "Медведь"</t>
  </si>
  <si>
    <t>ИП глава К(Ф)Х Шарыпова Наталья Михайловна</t>
  </si>
  <si>
    <t xml:space="preserve">АО "Солгон" </t>
  </si>
  <si>
    <t>ИП глава К(Ф)Х Аскеров Камал Гиняз оглы</t>
  </si>
  <si>
    <t>ИП глава К(Ф)Х Докторук Павел Николаевич</t>
  </si>
  <si>
    <t>ООО "ДиХлеб"</t>
  </si>
  <si>
    <t>ООО "Причулымье"</t>
  </si>
  <si>
    <t>ООО "Красноярский комбикормовый завод"</t>
  </si>
  <si>
    <t>ООО "Ярск"</t>
  </si>
  <si>
    <t>ООО "Емельяновские вкусняшки"</t>
  </si>
  <si>
    <t>ИП глава К(Ф)Х Зайферт Евгений Эвальдович</t>
  </si>
  <si>
    <t>ООО "Налобинская птицефабрика"</t>
  </si>
  <si>
    <t>Субсидии на возмещение части затрат на уплату процентов по кредитам, полученным на развитие товарной аквакультуры осетровых видов рыб, на срок до 10 лет</t>
  </si>
  <si>
    <t>ИП глава К(Ф)Х Липнягов Геннадий Владимирович</t>
  </si>
  <si>
    <t>ИП глава К(Ф)Х Павлова Елена Владимировна</t>
  </si>
  <si>
    <t xml:space="preserve">ИП глава К(Ф)Х Иванова Надежда Николаевна                                                                                             </t>
  </si>
  <si>
    <t xml:space="preserve">ИП глава К(Ф)Х Ранцев Николай Николдаевич                                                                                          </t>
  </si>
  <si>
    <t xml:space="preserve">ИП глава К(Ф)Х Генза Олег Саламонович                                                                                           </t>
  </si>
  <si>
    <t xml:space="preserve">ИП глава К(Ф)Х Поляков Николай Николаевич                                                                                            </t>
  </si>
  <si>
    <t>ИП глава К(Ф)Х Демов Михаил Викторович</t>
  </si>
  <si>
    <t>ИП глава К(Ф)Х Александров Игорь Иванович</t>
  </si>
  <si>
    <t>ИП глава К(Ф)Х Костькин Василий Александрович</t>
  </si>
  <si>
    <t>ИП Глава К(Ф)Х Бронтерюк Николай Юрьевич</t>
  </si>
  <si>
    <t>ИП К(Ф)Х Минаков Дмитрий Александрович</t>
  </si>
  <si>
    <t>ИП К(Ф)Х Ковалева Оксана Владимировсна</t>
  </si>
  <si>
    <t>ИП К(Ф)Х Ракитянский Игорь Алексеевич</t>
  </si>
  <si>
    <t>ИП К(Ф)Х Хлобозов Владислав Игоревич</t>
  </si>
  <si>
    <t>ИП глава К(Ф)Х Михайлов Евгений Геннадьевич</t>
  </si>
  <si>
    <t>ИП глава К(Ф)Х Вахрушева Ольга Васильевна</t>
  </si>
  <si>
    <t>ИП глава К(Ф)Х Васильева Лариса Николаевна</t>
  </si>
  <si>
    <t>ИП глава К(Ф)Х Галлямов Рашид Рамилевич</t>
  </si>
  <si>
    <t>ИП глава К(Ф)Х Амирханов Ильдар Раисович</t>
  </si>
  <si>
    <t>ИП глава К(Ф)Х Шевченко Иван Игоревич</t>
  </si>
  <si>
    <t>ИП глава К(Ф)Х Никитина Наталья Владимировна</t>
  </si>
  <si>
    <t>ИП глава К(Ф)Х Федулов Артем Анатольевич</t>
  </si>
  <si>
    <t>ИП глава К(Ф)Х Горбань Оксана Васильевна</t>
  </si>
  <si>
    <t>КГБОУ СПО "ШСХК"</t>
  </si>
  <si>
    <t>КГБ ПОУ "Ужурский многопрофильный техникум"</t>
  </si>
  <si>
    <t>ИП Арбузов Николай Анатольевич</t>
  </si>
  <si>
    <t>ИП глава К(Ф)Х Соловьева Елена Викторовна</t>
  </si>
  <si>
    <t>ИП глава К(Ф)Х Камоцкий Василий Александрович</t>
  </si>
  <si>
    <t>ИП глава К(Ф)Х Вершков Сергей Андреевич</t>
  </si>
  <si>
    <t>ИП глава К(Ф)Х Горбаткина Тамара Михайловна</t>
  </si>
  <si>
    <t>ИП глава К(Ф)Х Лаврещук Александр Николаевич</t>
  </si>
  <si>
    <t>ИП глава К(Ф)Х Борцов Виталий Михайлович</t>
  </si>
  <si>
    <t>ИП глава К(Ф)Х Якубович Владимир Владимирович</t>
  </si>
  <si>
    <t>ИП глава К(Ф)Х Киселев Валерий Александрович</t>
  </si>
  <si>
    <t>ООО "Тасеевский молочный завод №1"</t>
  </si>
  <si>
    <t>ИП глава К(Ф)Х Швец Виктор Игнатьевич</t>
  </si>
  <si>
    <t>АО племзавод "Краснотуранский"</t>
  </si>
  <si>
    <t>ИП глава К(Ф)Х Крашенинин Андрей Анатольевич</t>
  </si>
  <si>
    <t>ООО "Успенское"</t>
  </si>
  <si>
    <t>ИП глава К(Ф)Х Колпаков Виктор Владимирович</t>
  </si>
  <si>
    <t>ООО "Агинское молоко"</t>
  </si>
  <si>
    <t xml:space="preserve">ИП Ерченко Татьяна Анатольевна </t>
  </si>
  <si>
    <t>СППК "Вкус"</t>
  </si>
  <si>
    <t>ООО АПК "Овощи Сибири"</t>
  </si>
  <si>
    <t>ИП глава К(Ф)Х Осипов Василий Дмитриевич</t>
  </si>
  <si>
    <t>ИП глава К(Ф)Х Гийсвайн Андрей Александрович</t>
  </si>
  <si>
    <t>ИП глава К(Ф)Х Карпенко Любовь Тимофеевна</t>
  </si>
  <si>
    <t>ИП глава К(Ф)Х Рассказова Людмила Юрьевна</t>
  </si>
  <si>
    <t>ИП глава К(Ф)Х Черемных Марина Владимировна</t>
  </si>
  <si>
    <t>ИП глава К(Ф)Х Кокарев Роман Валерьевич</t>
  </si>
  <si>
    <t>ИП Глава К(Ф)Х Цыбин Сергей Иванович</t>
  </si>
  <si>
    <t>ИП К(Ф)Х Крюков Александр Николаевич</t>
  </si>
  <si>
    <t>ИП глава К(Ф)Х Салосин Николай Николаевич</t>
  </si>
  <si>
    <t>ИП глава К(Ф)Х Мельник Василий Юрьевич</t>
  </si>
  <si>
    <t>ИП глава К(Ф)Х Мафтеев Николай Владимирович</t>
  </si>
  <si>
    <t>ИП глава К(Ф)Х Золотарев Иван Александрович</t>
  </si>
  <si>
    <t>ИП глава К(Ф)Х Михайлов Олег Александрович</t>
  </si>
  <si>
    <t>Идринский (г. Красноярск)</t>
  </si>
  <si>
    <t>Большемуртинский (Красноярск)</t>
  </si>
  <si>
    <t>Боготольский (Красноярск)</t>
  </si>
  <si>
    <t>ООО "Арга плюс"</t>
  </si>
  <si>
    <t>г .Красноярск (Канск)</t>
  </si>
  <si>
    <t>ФКУ "Колония-поселения № 48 ГУФСИН по Кр.Краю</t>
  </si>
  <si>
    <t>СППК "Марусино детство"</t>
  </si>
  <si>
    <t>ИП Глава К(Ф)Х Пятых Елена Владимировна</t>
  </si>
  <si>
    <t>ИП глава К(Ф)Х Аграшев Петр Михайлович</t>
  </si>
  <si>
    <t>ИП Павлов Сергей Павлович</t>
  </si>
  <si>
    <t>СПК "Борец"</t>
  </si>
  <si>
    <t>ИП глава К(Ф)Х Тюлюш Владимир Вячеславович</t>
  </si>
  <si>
    <t>ИП глава К(Ф)Х Зиновьев Александр Львович</t>
  </si>
  <si>
    <t>ЗАО "Минусинская кондитерская фабрика"</t>
  </si>
  <si>
    <t>Акционерное общество "ЕнисейАгроСоюз"</t>
  </si>
  <si>
    <t>ИП глава К(Ф)Х Бельская Валентина Богдановна</t>
  </si>
  <si>
    <t>ИП глава К(Ф)Х Сапрыкина Татьяна Георгиевна</t>
  </si>
  <si>
    <t>ИП глава К(Ф)Х Бобков Алексей Иванович</t>
  </si>
  <si>
    <t>ИП глава К(Ф)Х Десятник Ирина Владимировна</t>
  </si>
  <si>
    <t>ООО "К(Ф)Х "Могучий"</t>
  </si>
  <si>
    <t>ООО К(Ф)Х "Хакасия"</t>
  </si>
  <si>
    <t>ООО К(Ф)Х "Янн"</t>
  </si>
  <si>
    <t>ООО "К(Ф)Х "Черемушка"</t>
  </si>
  <si>
    <t>ИП глава К(Ф)Х Владимиров Владимир Георгиевич</t>
  </si>
  <si>
    <t>ИП глава К(Ф)Х Владимиров Вячеслав Георгиевич</t>
  </si>
  <si>
    <t>ИП глава К(Ф)Х Миллер Александр Федорович</t>
  </si>
  <si>
    <t>ИП глава К(Ф)Х Тесленко Григорий Петрович</t>
  </si>
  <si>
    <t>ИП глава К(Ф)Х Арсланов Минсалих Фахруллович</t>
  </si>
  <si>
    <t>ИП глава К(Ф)Х Ильин Иван Сергеевич</t>
  </si>
  <si>
    <t>ИП Глава К(Ф)Х Казанин Кузьма Степанович</t>
  </si>
  <si>
    <t>ИП глава К(Ф)Х Матич Виктор Викторович</t>
  </si>
  <si>
    <t>ИП глава К(Ф)Х Персман Светлана Владимировна</t>
  </si>
  <si>
    <t>ИП глава К(Ф)Х Сидоров Владимир Николаевич</t>
  </si>
  <si>
    <t>ИП глава К(Ф)Х Стацук Валентина Петровна</t>
  </si>
  <si>
    <t>ИП глава К(Ф)Х Сулейманов Виталий Ягофарович</t>
  </si>
  <si>
    <t>ИП глава К(Ф)Х Федяев Станислав Валентинович</t>
  </si>
  <si>
    <t>ИП глава К(Ф)Х Филонов Александр Алексеевич</t>
  </si>
  <si>
    <t>ИП глава К(Ф)Х Соломатова Гальсима Рахимзяновна</t>
  </si>
  <si>
    <t>ИП глава К(Ф)Х Варыгин Михаил Александрович</t>
  </si>
  <si>
    <t>ИП глава К(Ф)Х Воробьев Сергей Геннадьевич</t>
  </si>
  <si>
    <t>ИП глава К(Ф)Х Гисвайн Виктор Викторович</t>
  </si>
  <si>
    <t>ИП глава К(Ф)Х Розе Андрей Яковлевич</t>
  </si>
  <si>
    <t>ИП глава К(Ф)Х Мухутдинов Руслан Миннорович</t>
  </si>
  <si>
    <t>ИП глава К(Ф)Х Владимиров Юрий Кузьмич</t>
  </si>
  <si>
    <t>ИП глава К(Ф)Х Кахоров Тулкинжон Толибжонович</t>
  </si>
  <si>
    <t>ИП глава К(Ф)Х Белкин Юрий Андреевич</t>
  </si>
  <si>
    <t>ИП глава К(Ф)Х Дерлам Владимир Андреевич</t>
  </si>
  <si>
    <t>ИП глава К(Ф)Х Дуюн Сергей Иванович</t>
  </si>
  <si>
    <t>ИП глава К(Ф)Х Морозов Николай Васильевич</t>
  </si>
  <si>
    <t>ИП глава К(Ф)Х Соколов Валерий Александрович</t>
  </si>
  <si>
    <t>ИП глава К(Ф)Х Хрестин Александр Васильевич</t>
  </si>
  <si>
    <t>ИП глава К(Ф)Х Шерманов Василий Николаевич</t>
  </si>
  <si>
    <t>ИП глава К(Ф)Х Головко Вячеслав Валерьевич</t>
  </si>
  <si>
    <t>ИП глава К(Ф)Х Дылько Лидия Ивановна</t>
  </si>
  <si>
    <t>ИП глава К(Ф)Х Ерошенко Ольга Владимировна</t>
  </si>
  <si>
    <t>ИП глава К(Ф)Х Ильенко Олег Владимирович</t>
  </si>
  <si>
    <t>ИП глава К(Ф)Х Фролов Александр Сергеевич</t>
  </si>
  <si>
    <t>К(Ф)Х "Шрейдерово"</t>
  </si>
  <si>
    <t>К(Ф)Х "Стимул"</t>
  </si>
  <si>
    <t>ИП глава (К(Ф)Х) Иванов Дмитрий Васильевич</t>
  </si>
  <si>
    <t>ИП глава К(Ф)Х Абельтин Александр Рудольфович</t>
  </si>
  <si>
    <t>ИП глава К(Ф)Х Винокуров Сергей Михайлович</t>
  </si>
  <si>
    <t>ИП глава К(Ф)Х Новокрещенных Алексей Алексеевич</t>
  </si>
  <si>
    <t>ИП глава К(Ф)Х Козлов Олег Васильевич</t>
  </si>
  <si>
    <t>ИП глава К(Ф)Х Курносов Сергей Анатольевич</t>
  </si>
  <si>
    <t>ИП глава К(Ф)Х Немков Антон Александрович</t>
  </si>
  <si>
    <t>ИП глава К(Ф)Х Тонких Галина Алексеевна</t>
  </si>
  <si>
    <t>ИП глава К(Ф)Х Линдер  Эрнест Юганович</t>
  </si>
  <si>
    <t>ИП глава К(Ф)Х Аникин Владимир Деонисович</t>
  </si>
  <si>
    <t>ИП глава К(Ф)Х Видергольд Юрий Эдуардович</t>
  </si>
  <si>
    <t>ИП глава К(Ф)Х Гельвер Александр Оскарович</t>
  </si>
  <si>
    <t>ИП глава К(Ф)Х Живанов Геннадий Васильевич</t>
  </si>
  <si>
    <t>ИП глава К(Ф)Х Стрелков Андрей Анатольевич</t>
  </si>
  <si>
    <t>ИП глава К(Ф)Х Семенов Алексей Андреевич</t>
  </si>
  <si>
    <t>ИП глава К(Ф)Х Трубинская Анна Филипповна</t>
  </si>
  <si>
    <t>ИП глава К(Ф)Х Клитченко Виктор Иванович</t>
  </si>
  <si>
    <t>ИП глава (К(Ф)Х) Косицкий Валерий Анатольевич</t>
  </si>
  <si>
    <t>ИП глава (К(Ф)Х) Кох Александр Александрович</t>
  </si>
  <si>
    <t xml:space="preserve">ИП глава К(Ф)Х Кривохижа Валерий Николаевич </t>
  </si>
  <si>
    <t>ИП глава К(Ф)Х Крысенко Галина Николаевна</t>
  </si>
  <si>
    <t>ИП глава К(Ф)Х Мерикин Дмитрий Павлович</t>
  </si>
  <si>
    <t>ИП глава К(Ф)Х Прокопенко Виктор Борисович</t>
  </si>
  <si>
    <t>ИП глава К(Ф)Х Ремизов Петр Васильевич</t>
  </si>
  <si>
    <t>ИП глава К(Ф)Х Соколов Александр Павлович</t>
  </si>
  <si>
    <t>ИП глава К(Ф)Х Соколов Сергей Владимирович</t>
  </si>
  <si>
    <t>ИП глава К(Ф)Х Школин Константин Анатольевич</t>
  </si>
  <si>
    <t>ИП глава К(Ф)Х Школин Николай Степанович</t>
  </si>
  <si>
    <t>ИП глава К(Ф)Х Цветков Олег Евгеньевич</t>
  </si>
  <si>
    <t>ИП глава К(Ф)Х Леншмидт Сергей Сергеевич</t>
  </si>
  <si>
    <t>ИП глава К(Ф)Х Островерхов Виктор Николаевич</t>
  </si>
  <si>
    <t>ИП Глава К(Ф)Х Басаргин Александр Андреевич</t>
  </si>
  <si>
    <t>ИП Глава К(Ф)Х Бурнышев Алексей Никифорович</t>
  </si>
  <si>
    <t>ИП Глава К(Ф)Х Перевалова Татьяна Владимировна</t>
  </si>
  <si>
    <t>ИП Глава К(Ф)Х Давыденко Виталий Сергеевич</t>
  </si>
  <si>
    <t>ИП глава К(Ф)Х Докторук Роман Павлович</t>
  </si>
  <si>
    <t>ИП глава К(Ф)Х Вагнер Александр Карлович</t>
  </si>
  <si>
    <t>ИП глава К(Ф)Х Герасимов Олег Васильевич</t>
  </si>
  <si>
    <t>ИП глава К(Ф)Х Зотин Андрей Валерьевич</t>
  </si>
  <si>
    <t>ИП глава К(Ф)Х Коваленко Андрей Сергеевич</t>
  </si>
  <si>
    <t>ИП глава К(Ф)Х Шевченко Сергей Леонидович</t>
  </si>
  <si>
    <t>ИП глава (К(Ф)Х) Епифанов Анатолий Александрович</t>
  </si>
  <si>
    <t>ИП глава (К(Ф)Х) Епифанов Дмитрий Анатольевич</t>
  </si>
  <si>
    <t>ИП глава К(Ф)Х Клявзер Раиса Степановна</t>
  </si>
  <si>
    <t>ИП глава К(Ф)Х Норкина Елена Викторовна</t>
  </si>
  <si>
    <t>ИП глава К(Ф)Х Романенко Александр Иванович</t>
  </si>
  <si>
    <t>ИП глава К(Ф)Х Романова Вера Анатольевна</t>
  </si>
  <si>
    <t>ИП глава К(Ф)Х Савин Александр Владимирович</t>
  </si>
  <si>
    <t>ИП глава К(Ф)Х Семенов Анатолий Андреевич</t>
  </si>
  <si>
    <t>ИП глава К(Ф)Х Смирнов Владимир Михайлович</t>
  </si>
  <si>
    <t>ИП глава К(Ф)Х Собиров Сафармурод Бобомуродович</t>
  </si>
  <si>
    <t>ИП глава К(Ф)Х Сотникова Раиса Махайлова</t>
  </si>
  <si>
    <t>ИП глава К(Ф)Х Торгашин Гавриил Михайлович</t>
  </si>
  <si>
    <t>ИП глава К(Ф)Х Травинский Петр Петрович</t>
  </si>
  <si>
    <t>ИП глава К(Ф)Х Тютюкин Владимир Александрович</t>
  </si>
  <si>
    <t>ИП глава К(Ф)Х Че-киль-лог Андрей Викторович</t>
  </si>
  <si>
    <t>ИП глава К(Ф)Х Халатян Роман Махмадович</t>
  </si>
  <si>
    <t>ИП глава К(Ф)Х Халатян Махмад Мироевич</t>
  </si>
  <si>
    <t>ИП глава К(Ф)Х Лыжин Андрей Юрьевич</t>
  </si>
  <si>
    <t>ИП глава К(Ф)Х Рабаданов Рабадан Мухтарович</t>
  </si>
  <si>
    <t>ИП глава К(Ф)Х Черепенько Юрий Михайлович</t>
  </si>
  <si>
    <t>ИП глава К(Ф)Х Берсенев Александр Геннадьевич</t>
  </si>
  <si>
    <t>ИП глава К(Ф)Х Полянский Николай Иннокентьевич</t>
  </si>
  <si>
    <t>ИП глава К(Ф)Х Факеева Людмила Анатольевна</t>
  </si>
  <si>
    <t>К(Ф)Х "Сухаревка"</t>
  </si>
  <si>
    <t>ИП глава К(Ф)Х Хамуха Николай Николаевич</t>
  </si>
  <si>
    <t>ИП глава К(Ф)Х Колчанов Юрий Петрович</t>
  </si>
  <si>
    <t>ИП глава К(Ф)Х Гуцев Виктор Юрьевич</t>
  </si>
  <si>
    <t>ИП глава К(Ф)Х Дроздов Андрей Викторович</t>
  </si>
  <si>
    <t>ИП глава К(Ф)Х Калинин Артем Геннадьевич</t>
  </si>
  <si>
    <t>ИП глава К(Ф)Х Макаров Михаил Алексеевич</t>
  </si>
  <si>
    <t>ИП глава К(Ф)Х Халилов Курбанали Сейдами-оглы</t>
  </si>
  <si>
    <t>ИП глава К(Ф)Х Анциферов Владимир Николаевич</t>
  </si>
  <si>
    <t>ИП глава К(Ф)Х Анциферов Иван Иванович</t>
  </si>
  <si>
    <t>ИП глава К(Ф)Х Белякин Владимир Николаевич</t>
  </si>
  <si>
    <t>ИП Глава К(Ф)Х Брух Виктор Андреевич</t>
  </si>
  <si>
    <t>ИП глава К(Ф)Х Вензель Андрей Эйволдович</t>
  </si>
  <si>
    <t>ИП глава К(Ф)Х Виндерголлер Андрей Эвальдович</t>
  </si>
  <si>
    <t>ИП Глава К(Ф)Х Владимиров Виталий Александрович</t>
  </si>
  <si>
    <t>ИП глава К(Ф)Х Гесс Николай Эрнстович</t>
  </si>
  <si>
    <t>ИП глава К(Ф)Х Глушаков Анатолий Васильевич</t>
  </si>
  <si>
    <t>ИП глава К(Ф)Х Горн Виктор Иванович</t>
  </si>
  <si>
    <t>ИП глава К(Ф)Х Демидов Сергей Петрович</t>
  </si>
  <si>
    <t>ИП глава К(Ф)Х Евдокимов Николай Николаевич</t>
  </si>
  <si>
    <t>ИП глава К(Ф)Х Зайберт Александр Карлович</t>
  </si>
  <si>
    <t>ИП глава К(Ф)Х Зубарев Виктор Васильевич</t>
  </si>
  <si>
    <t>ИП глава К(Ф)Х Игнатенко Николай Федорович</t>
  </si>
  <si>
    <t>ИП глава К(Ф)Х Илюшенко Галина Яковлевна</t>
  </si>
  <si>
    <t>ИП Глава К(Ф)Х Иордан Иван Викторович</t>
  </si>
  <si>
    <t>ИП Глава К(Ф)Х Иордан Елена Викторовна</t>
  </si>
  <si>
    <t>ИП глава К(Ф)Х Кайдалин Евгений Васильевич</t>
  </si>
  <si>
    <t>ИП глава К(Ф)Х Козелепов Анатолий Дмитриевич</t>
  </si>
  <si>
    <t>ИП глава К(Ф)Х Корнаков Иван Геннадьевич</t>
  </si>
  <si>
    <t>ИП глава К(Ф)Х Кохан Николай Михайлович</t>
  </si>
  <si>
    <t>ИП глава К(Ф)Х Кроневальд Наталья Николаевна</t>
  </si>
  <si>
    <t>ИП глава К(Ф)Х Любавин Валерий Геннадьевич</t>
  </si>
  <si>
    <t>ИП глава К(Ф)Х Майер Александр Эйвальдович</t>
  </si>
  <si>
    <t>ИП глава К(Ф)Х Маурер Сергей Александрович</t>
  </si>
  <si>
    <t>ИП глава К(Ф)Х Медведев Василий Валерьевич</t>
  </si>
  <si>
    <t>ИП глава К(Ф)Х Медведев Юрий Сергеевич</t>
  </si>
  <si>
    <t>ИП глава К(Ф)Х Медведчук Анатолий Алексеевич</t>
  </si>
  <si>
    <t>ИП глава К(Ф)Х Миськов Николай Дмитриевич</t>
  </si>
  <si>
    <t>ИП глава К(Ф)Х Монахин Юрий Михайлович</t>
  </si>
  <si>
    <t>ИП глава К(Ф)Х Орлов Виталий Александрович</t>
  </si>
  <si>
    <t>ИП глава К(Ф)Х Полежаева Наталья Александровна</t>
  </si>
  <si>
    <t>ИП глава К(Ф)Х Соломатов Андрей Михайлович</t>
  </si>
  <si>
    <t>ИП Глава (К(Ф)Х) Холбоева Валентина Ермалаевна</t>
  </si>
  <si>
    <t>ИП глава К(Ф)Х Хутиев Вадим Бамятгириевич</t>
  </si>
  <si>
    <t>ИП глава К(Ф)Х Цыглимов Александр Семенович</t>
  </si>
  <si>
    <t>ИП глава К(Ф)Х Цыглимов Анатолий Семенович</t>
  </si>
  <si>
    <t>ИП глава К(Ф)Х Цыглимов Семен Анатольевич</t>
  </si>
  <si>
    <t>ИП глава К(Ф)Х Чепурной Виктор Викторович</t>
  </si>
  <si>
    <t>ИП глава К(Ф)Х Шалько Андрей Николаевич</t>
  </si>
  <si>
    <t>ИП глава К(Ф)Х Швейцер Владимир Рихгардтович</t>
  </si>
  <si>
    <t>Ип глава К(Ф)Х Гадальшин Ринат Рафаилович</t>
  </si>
  <si>
    <t>ИП глава К(Ф)Х Щербаков Анатолий Васильевич</t>
  </si>
  <si>
    <t>ИП глава К(Ф)Х Ибрагимов Иляс Мохлуд Оглы</t>
  </si>
  <si>
    <t>ИП глава К(Ф)Х Кайданович Павел Антонович</t>
  </si>
  <si>
    <t>ИП глава К(Ф)Х Закиров Мансур Абубакирович</t>
  </si>
  <si>
    <t>ИП глава К(Ф)Х Иванников Александр Артемович</t>
  </si>
  <si>
    <t>ИП Глава К(Ф)Х Иванов Александр Николаевич</t>
  </si>
  <si>
    <t>ИП глава К(Ф)Х Киселев Михаил Александрович</t>
  </si>
  <si>
    <t>ИП глава К(Ф)Х Кокарев Александр Анатольевич</t>
  </si>
  <si>
    <t>ИП глава К(Ф)Х Косовицкий Петр Павлович</t>
  </si>
  <si>
    <t>ИП глава К(Ф)Х Куприянов Максим Анатольевич</t>
  </si>
  <si>
    <t>ИП глава К(Ф)Х Николаев Александр Николаевич</t>
  </si>
  <si>
    <t>ИП глава К(Ф)Х Семененко Вадим Иванович</t>
  </si>
  <si>
    <t>ИП глава К(Ф)Х Семененко Виктор Иванович</t>
  </si>
  <si>
    <t>ИП глава К(Ф)Х Скобелин Андрей Семенович</t>
  </si>
  <si>
    <t>ИП глава К(Ф)Х Соколов Петр Константинович</t>
  </si>
  <si>
    <t>ИП глава К(Ф)Х Сорочкин Юрий Сергеевич</t>
  </si>
  <si>
    <t>ИП глава К(Ф)Х Фарманов Диер Абдумурадович</t>
  </si>
  <si>
    <t>ИП глава К(Ф)Х Арутюнян Арсен Мнацаканович</t>
  </si>
  <si>
    <t>ИП глава К(Ф)Х Моргун Сергей Михайлович</t>
  </si>
  <si>
    <t>ИП глава К(Ф)Х Баранченко Сергей Михайлович</t>
  </si>
  <si>
    <t>ИП глава К(Ф)Х Лещук Владимир Владимирович</t>
  </si>
  <si>
    <t>ИП глава К(Ф)Х Цыганов Василий Александрович</t>
  </si>
  <si>
    <t>ИП глава К(Ф)Х Аббасов Азад Ниязалы оглы</t>
  </si>
  <si>
    <t>ИП глава (К(Ф)Х) Ващекина Татьяна Алексеевна</t>
  </si>
  <si>
    <t>ИП глава (К(Ф)Х) Солдатова Ольга Владимировна</t>
  </si>
  <si>
    <t>ИП глава (К(Ф)Х) Солдатов Владимир Евгеньевич</t>
  </si>
  <si>
    <t>ИП глава К(Ф)Х Хиляс Алексей Александрович</t>
  </si>
  <si>
    <t>ИП глава К(Ф)Х Хиляс Александр Александрович</t>
  </si>
  <si>
    <t>ИП глава К(Ф)Х Миллер Эдуард Владимирович</t>
  </si>
  <si>
    <t>ИП глава К(Ф)Х Бойко Валерий Викторович</t>
  </si>
  <si>
    <t>ИП глава К(Ф)Х Бельтепетеров Василий Анатольевич</t>
  </si>
  <si>
    <t>ИП глава К(Ф)Х Молотков Андрей Николаевич</t>
  </si>
  <si>
    <t>ИП глава К(Ф)Х Молотков Владимир Николаевич</t>
  </si>
  <si>
    <t>ИП глава К(Ф)Х Тамирова Амила Алы Кызы</t>
  </si>
  <si>
    <t>ИП глава К(Ф)Х Фукс Андрей Иоганович</t>
  </si>
  <si>
    <t>ИП глава К(Ф)Х Соболев Юрий Юрьевич</t>
  </si>
  <si>
    <t>К(Ф)Х Боровлева Сергея Алексеевича</t>
  </si>
  <si>
    <t>К(Ф)Х Старцева Олега Владимировича</t>
  </si>
  <si>
    <t>К(Ф)Х Яворовского Сергея Алекандровича</t>
  </si>
  <si>
    <t>ИП глава К(Ф)Х Калиновский Евгений Викторович</t>
  </si>
  <si>
    <t>ИП глава К(Ф)Х Темпель Алексей Владимирович</t>
  </si>
  <si>
    <t>ИП глава К(Ф)Х Алексеев Михаил Васильевич</t>
  </si>
  <si>
    <t>ИП глава К(Ф)Х Боровков Михаил Иванович</t>
  </si>
  <si>
    <t>К(Ф)Х Блохина Владимира Васильевича</t>
  </si>
  <si>
    <t>ИП глава К(Ф)Х Ажаров Виктор Анатольевич</t>
  </si>
  <si>
    <t>ИП глава К(Ф)Х Баранов Николай Иванович</t>
  </si>
  <si>
    <t>ИП глава К(Ф)Х Ермолаев Юрий Анатольевич</t>
  </si>
  <si>
    <t>ИП глава К(Ф)Х Зинович Виктор Константинович</t>
  </si>
  <si>
    <t>ИП глава К(Ф)Х Талаев Михаил Иванович</t>
  </si>
  <si>
    <t>ИП глава К(Ф)Х Тихонов Виктор Александрович</t>
  </si>
  <si>
    <t>ИП глава К(Ф)Х Яковлев Сергей Михайлович</t>
  </si>
  <si>
    <t>ИП глава К(Ф)Х Пантюков Сергей Юрьевич</t>
  </si>
  <si>
    <t>ИП глава К(Ф)Х Агламзянов Сергей Борисович</t>
  </si>
  <si>
    <t>ИП глава К(Ф)Х Агламзянов Александр Сергеевич</t>
  </si>
  <si>
    <t>ИП глава К(Ф)Х Бацагин Евгений Николаевич</t>
  </si>
  <si>
    <t>ИП глава К(Ф)Х Бредихин Сергей Владимирович</t>
  </si>
  <si>
    <t>ИП глава К(Ф)Х Бугорков Дмитрий  Анатольевич</t>
  </si>
  <si>
    <t>ИП глава К(Ф)Х Дробушевский Иван Иванович</t>
  </si>
  <si>
    <t>ИП глава К(Ф)Х Калугин Олег Ефимович</t>
  </si>
  <si>
    <t>ИП глава К(Ф)Х Карелин Михаил Владимирович</t>
  </si>
  <si>
    <t>ИП глава К(Ф)Х Макеев Николай Павлович</t>
  </si>
  <si>
    <t>ИП глава К(Ф)Х Низамутдинов Ильяс Фархутдинович</t>
  </si>
  <si>
    <t>ИП глава К(Ф)Х Посконный Валерий Александрович</t>
  </si>
  <si>
    <t>ИП глава К(Ф)Х Рузавин Максим Николаевич</t>
  </si>
  <si>
    <t>ИП глава К(Ф)Х Гридюшкин Владимир Иванович</t>
  </si>
  <si>
    <t>ИП глава К(Ф)Х Гридюшкина Тамара Семеновна</t>
  </si>
  <si>
    <t>ИП глава К(Ф)Х Кононов Игорь Геннадьевич</t>
  </si>
  <si>
    <t>ИП глава К(Ф)Х Кучеров Владимир Николаевич</t>
  </si>
  <si>
    <t>ИП глава К(Ф)Х Наконечный Сергей Владимирович</t>
  </si>
  <si>
    <t>ИП глава К(Ф)Х Кучман Сергей Анатольевич</t>
  </si>
  <si>
    <t>ИП глава К(Ф)Х Филатова Надежда Анатольевна</t>
  </si>
  <si>
    <t>ИП глава К(Ф)Х Апонасенко Василий Николаевич</t>
  </si>
  <si>
    <t>ИП глава К(Ф)Х Евдокимов Александр Николаевич</t>
  </si>
  <si>
    <t>ИП глава К(Ф)Х Стомерс Максим Васильевич</t>
  </si>
  <si>
    <t>ИП глава К(Ф)Х Мукштадт Сергей Владимирович</t>
  </si>
  <si>
    <t>ИП глава К(Ф)Х Ковалев Дмитрий Васильевич</t>
  </si>
  <si>
    <t>ИП глава К(Ф)Х Мордашева Анна Петровна</t>
  </si>
  <si>
    <t>ИП глава К(Ф)Х Газарян Армен Бегларович</t>
  </si>
  <si>
    <t>ИП глава К(Ф)Х Суликовский Алексей Геннадьевич</t>
  </si>
  <si>
    <t>ИП глава К(Ф)Х Спевакин Владимир Игоревич</t>
  </si>
  <si>
    <t>ИП глава К(Ф)Х Морозов Михаил Сергеевич</t>
  </si>
  <si>
    <t>ИП глава К(Ф)Х Балезин Валерий Александрович</t>
  </si>
  <si>
    <t>ИП глава К(Ф)Х Байденко Александр Владимирович</t>
  </si>
  <si>
    <t>ИП глава К(Ф)Х Бердников Анатолий Николаевич</t>
  </si>
  <si>
    <t>ИП глава К(Ф)Х Бахтин Денис Сергеевич</t>
  </si>
  <si>
    <t>ИП глава К(Ф)Х Белышев Валерий Викторович</t>
  </si>
  <si>
    <t>ИП глава К(Ф)Х Павленко Анатолий Кириллович</t>
  </si>
  <si>
    <t>ИП глава К(Ф)Х Шорохов Геннадий Николаевич</t>
  </si>
  <si>
    <t>ИП глава К(Ф)Х Басенко Виталий Анатольевич</t>
  </si>
  <si>
    <t>ИП глава К(Ф)Х Юдин Антон Николаевич</t>
  </si>
  <si>
    <t xml:space="preserve">К(Ф)Х "Апилак" </t>
  </si>
  <si>
    <t>К(Ф)Х "Аристов А.Г."</t>
  </si>
  <si>
    <t>К(Ф)Х "Лазурь"</t>
  </si>
  <si>
    <t>К(Ф)Х "Островок-1"</t>
  </si>
  <si>
    <t>СППК "Малоозерский"</t>
  </si>
  <si>
    <t>ИП глава КФ)Х Афанасьев Денис Валерьевич</t>
  </si>
  <si>
    <t>ООО "КЛЮЧИ"</t>
  </si>
  <si>
    <t>ООО "Кондитерские технологии крайпотребсоюза"</t>
  </si>
  <si>
    <t>Колхоз "Прогресс"</t>
  </si>
  <si>
    <t>ИП глава К(Ф)Х Мартыненко Галина Артемьевна</t>
  </si>
  <si>
    <t>тыс. рублей</t>
  </si>
  <si>
    <t xml:space="preserve">Размер полученной государственной поддержки  </t>
  </si>
  <si>
    <t>Субсидии на возмещение части затрат на уплату процентов  по инвестиционным кредитам (займам), полученным на цели развития  животноводства, переработки и развития инфраструктуры и логистического обеспечения рынков продукцией животноводства, на срок от 8 до 15 лет</t>
  </si>
  <si>
    <t>Субсидии на возмещение части затрат на уплату процентов  по инвестиционным кредитам (займам) на развитие молочного скотоводства, на срок до 15 лет</t>
  </si>
  <si>
    <t xml:space="preserve">                                                                            Субсидии на возмещение части затрат на уплату процентов по инвестиционным кредитам (займам), полученным на цели развития растениеводства, переработки и развития инфраструктуры и логистического обеспечения рынков продукции растениеводства , на срок до 8 и 10 лет</t>
  </si>
  <si>
    <t>Субсидии на возмещение части затрат на уплату процентов по инвестиционным кредитам, полученным на срок до 10 лет</t>
  </si>
  <si>
    <t>Субсидии на компенсацию части затрат на строительство объектов животноводства, используемых для содержания  и (или) убоя КРС и свиней, объектов овощеводства, используемых для производства и хранения овощей и (или) картофеля</t>
  </si>
  <si>
    <t xml:space="preserve"> Субсидии на возмещение части затрат на уплату процентов по кредитам  (займам), полученным на развитие малых форм хозяйствования</t>
  </si>
  <si>
    <t xml:space="preserve">Субсидии на возмещение части затрат на уплату процентов по кредитам, полученным сельскохозяйственными товаропроизводителями на срок до 2 лет </t>
  </si>
  <si>
    <t>Субсидии на возмещение части затрат на уплату процентов по кредитам, полученным организациями агропромышленного комплекса на срок до 2 лет</t>
  </si>
  <si>
    <t>Субсидии на возмещение части затрат на уплату процентов по кредитам (займам), полученным на цели развития  растениеводства, переработки и реализации продукции растениеводства, на срок до 1 года</t>
  </si>
  <si>
    <t>Субсидии на возмещение части затрат на уплату процентов по кредитам (займам), полученным на цели развития подотрасли животноводства, переработки и реализации продукции животноводства, на срок до 1 года</t>
  </si>
  <si>
    <t>Субсидии на возмещение части затрат на уплату процентов по кредитам (займам), полученным на закупку сельскохозяйственного сырья для первичной и (или)  последующей переработки продукции растениеводства и животноводства, срок до 1 года</t>
  </si>
  <si>
    <t>Субсидии на возмещение  части затрат на уплату процентов по  кредитам (займам), полученным на цели развития  молочного скотоводства, на срок до 1 года</t>
  </si>
  <si>
    <t xml:space="preserve">  Субсидии на компенсацию части стоимости оригинальных и элитных семян сельскохозяйственных растений </t>
  </si>
  <si>
    <t xml:space="preserve">Субсидии на компенсацию части затрат на производство продукции растениеводства на низкопродуктивной пашне в районах Крайнего Севера и приравненных к ним местностях                                      </t>
  </si>
  <si>
    <t>Субсидии на возмещение части затрат на уплату страховой премии  по договору сельскохозяйственного страхования в области животноводства</t>
  </si>
  <si>
    <t xml:space="preserve"> Субсидии на компенсацию части затрат на закладку и уход за многолетними плодовыми и ягодными насаждениями</t>
  </si>
  <si>
    <t xml:space="preserve">Стоимость безвозмездно переданных средств химической защиты растений         </t>
  </si>
  <si>
    <t xml:space="preserve">Субсидии на удешевление стоимости семени и жидкого азота, реализуемых, используемых в крае для искусственного осеменения сх животных (за исключением крупного рогатого скота мясного направления) </t>
  </si>
  <si>
    <t>Субсидии на компенсацию части затрат на содержание племенного маточного поголовья крупного рогатого скота молочного направления и племенных быков-производителей молочного направления</t>
  </si>
  <si>
    <t>Субсидии на компенсацию части затрат на содержание племенного маточного поголовья  сельскохозяйственных животных и племенных быков-производителей (за искючением молочного и мясного направления), племенных рогачей маралов</t>
  </si>
  <si>
    <t>Субсидии на компенсацию части затрат на  содержание и испытания племенных лошадей</t>
  </si>
  <si>
    <t>Субсидии на компенсацию части затрат на содержание  племенного маточного поголовья крупного рогатого скота мясного направления и племенных быков-производителей мясного направления</t>
  </si>
  <si>
    <t>Субсидии на удешевление стоимости семени и жидкого азота для искуственного осеменения крупного рогатого скота мясного направления</t>
  </si>
  <si>
    <t>Субсидии на компенсацию части затрат на приобретение племенного материала разводимых пород племенного крупногоо рогатого скота мясного направления, включенных в Государственный реестр селекционных достижений</t>
  </si>
  <si>
    <t xml:space="preserve"> Субсидия на компенсацию части затрат на содержание коров и нетелей крупного рогатого скота (поддержка экономически значимых программ в области мясного скотоводства)       </t>
  </si>
  <si>
    <t>Субсидии на компенсацию части затрат на производство и реализацию молока и молокопродуктов</t>
  </si>
  <si>
    <t>Субсидия на компенсацию части затрат на содержание коров молочного направления с использованием электрической энергии, вырабатываемой дизельными электростанциями.</t>
  </si>
  <si>
    <t>Субсидии на поддержку производства продукции животноводства в районах Крайнего Севера,  на КЧЗ связанных с доставкой зерна фуражных культур, комбикормов, сена, сельскохозяйственных животных, сельскохозяйственных машин  водным транспортом</t>
  </si>
  <si>
    <t>Субсидии на компенсацию части затрат на производство и реализацию мяса кур мясных пород и (или) индеек</t>
  </si>
  <si>
    <t>Субсидии на компенсацию части затрат, связанных с оплатой первоначального (авансового) лизингового взноса и очередных лизинговых платежей по заключенным договорам финансового лизинга</t>
  </si>
  <si>
    <t>Субсидии на компенсацию части затрат, связанных с приобретением новых изделий автомобильной промышленности, тракторов и с/х машин, нового оборудования для пищевой, мясомолочной и рыбной, мукомольно-крупяной, комбикормовой, элеваторной промышленности</t>
  </si>
  <si>
    <t xml:space="preserve">                                                  Субсидии на оказание несвязанной поддержки сельскохозяйственным товаропроизводителям в области растениеводства</t>
  </si>
  <si>
    <t>Субсидии на возмещение части затрат  на проведение комплекса агротехнических работ, оказание несвязанной поддержки сельскохозяйственным товаропроизводителям в области развития семенного картофеля и овощей открытого грунта</t>
  </si>
  <si>
    <t>Субсидии на компенсацию части затрат, связанных с выплатой заработной платы молодым специалистам</t>
  </si>
  <si>
    <t>Субсидии на компенсацию части затрат, связанных с  закупом животноводческой продукции (молока, мяса свиней, мяса крупного рогатого скота) у граждан, ведущих личное подсобное хозяйство на территории края</t>
  </si>
  <si>
    <t xml:space="preserve">Гранты на компенсацию части затрат на реализацию проектов, направленных на развитие несельскохозяйственных видов деятельности в сельской        местности                                           </t>
  </si>
  <si>
    <t xml:space="preserve"> Гранты начинающим фермерам на создание и развитие крестьянского (фермерского) хозяйства (или) единовременная помощь начинающим фермерам на бытовое обустройство</t>
  </si>
  <si>
    <t xml:space="preserve">                                             Гранты сельскохозяйственным потребительским кооперативам  и потребительским обществам на развитие материально-технической базы</t>
  </si>
  <si>
    <t xml:space="preserve"> Гранты крестьянским фермерским хозяйствам на развитие семейных животноводческих ферм</t>
  </si>
  <si>
    <t>Всего:</t>
  </si>
  <si>
    <t>в том числе:</t>
  </si>
  <si>
    <t>Всего</t>
  </si>
  <si>
    <r>
      <t xml:space="preserve">протравители </t>
    </r>
  </si>
  <si>
    <t xml:space="preserve"> гербициды </t>
  </si>
  <si>
    <t>краевой бюджет</t>
  </si>
  <si>
    <t xml:space="preserve">ИП Глава К(Ф)Х Андропова Лариса Викторовна </t>
  </si>
  <si>
    <t xml:space="preserve">г .Красноярск </t>
  </si>
  <si>
    <t xml:space="preserve">г. Красноярск </t>
  </si>
  <si>
    <t xml:space="preserve">Информация о предоставлении государственной поддержки  субъектам агропромышленного комплекса края за 2016 год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</si>
</sst>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_-* #,##0.000_р_._-;\-* #,##0.000_р_._-;_-* &quot;-&quot;??_р_._-;_-@_-"/>
    <numFmt numFmtId="185" formatCode="0.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0_);_(* \(#,##0.00\);_(* \-??_);_(@_)"/>
    <numFmt numFmtId="192" formatCode="0.0000"/>
    <numFmt numFmtId="193" formatCode="0.00000"/>
    <numFmt numFmtId="194" formatCode="0.000000"/>
    <numFmt numFmtId="195" formatCode="#,##0.000000"/>
    <numFmt numFmtId="196" formatCode="#,##0.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#,##0.00000000"/>
    <numFmt numFmtId="200" formatCode="0.0000000"/>
    <numFmt numFmtId="201" formatCode="#,##0.000000000"/>
    <numFmt numFmtId="202" formatCode="#,##0.0000000000"/>
    <numFmt numFmtId="203" formatCode="_-* #,##0.000000_р_._-;\-* #,##0.000000_р_._-;_-* &quot;-&quot;??????_р_._-;_-@_-"/>
    <numFmt numFmtId="204" formatCode="000000"/>
    <numFmt numFmtId="205" formatCode="_-* #,##0.000000_р_._-;\-* #,##0.000000_р_._-;_-* &quot;-&quot;??_р_.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0000_р_._-;\-* #,##0.0000000_р_._-;_-* &quot;-&quot;?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6"/>
      <name val="Times New Roman Cyr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" fontId="4" fillId="19" borderId="10" xfId="0" applyNumberFormat="1" applyFont="1" applyFill="1" applyBorder="1" applyAlignment="1">
      <alignment horizontal="center" vertical="center" wrapText="1"/>
    </xf>
    <xf numFmtId="4" fontId="5" fillId="19" borderId="10" xfId="0" applyNumberFormat="1" applyFont="1" applyFill="1" applyBorder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left" vertical="top"/>
    </xf>
    <xf numFmtId="4" fontId="5" fillId="33" borderId="0" xfId="0" applyNumberFormat="1" applyFont="1" applyFill="1" applyBorder="1" applyAlignment="1">
      <alignment horizontal="center" vertical="center" wrapText="1"/>
    </xf>
    <xf numFmtId="183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181" fontId="4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62" applyFont="1" applyFill="1" applyBorder="1" applyAlignment="1">
      <alignment vertical="top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55" applyNumberFormat="1" applyFont="1" applyFill="1" applyBorder="1" applyAlignment="1">
      <alignment horizontal="center" vertical="center" wrapText="1"/>
      <protection/>
    </xf>
    <xf numFmtId="4" fontId="4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" fontId="4" fillId="33" borderId="0" xfId="0" applyNumberFormat="1" applyFont="1" applyFill="1" applyAlignment="1">
      <alignment horizontal="center" vertical="center"/>
    </xf>
    <xf numFmtId="3" fontId="5" fillId="19" borderId="11" xfId="62" applyNumberFormat="1" applyFont="1" applyFill="1" applyBorder="1" applyAlignment="1">
      <alignment vertical="top"/>
      <protection/>
    </xf>
    <xf numFmtId="0" fontId="4" fillId="19" borderId="12" xfId="62" applyFont="1" applyFill="1" applyBorder="1" applyAlignment="1">
      <alignment vertical="top" wrapText="1"/>
      <protection/>
    </xf>
    <xf numFmtId="4" fontId="5" fillId="19" borderId="12" xfId="0" applyNumberFormat="1" applyFont="1" applyFill="1" applyBorder="1" applyAlignment="1">
      <alignment horizontal="center" vertical="center"/>
    </xf>
    <xf numFmtId="4" fontId="5" fillId="19" borderId="10" xfId="0" applyNumberFormat="1" applyFont="1" applyFill="1" applyBorder="1" applyAlignment="1">
      <alignment horizontal="center" vertical="center"/>
    </xf>
    <xf numFmtId="4" fontId="5" fillId="19" borderId="0" xfId="0" applyNumberFormat="1" applyFont="1" applyFill="1" applyBorder="1" applyAlignment="1">
      <alignment horizontal="center" vertical="center"/>
    </xf>
    <xf numFmtId="0" fontId="5" fillId="19" borderId="0" xfId="0" applyFont="1" applyFill="1" applyAlignment="1">
      <alignment horizontal="center" vertical="top"/>
    </xf>
    <xf numFmtId="0" fontId="5" fillId="19" borderId="0" xfId="0" applyFont="1" applyFill="1" applyAlignment="1">
      <alignment vertical="top"/>
    </xf>
    <xf numFmtId="3" fontId="4" fillId="33" borderId="13" xfId="62" applyNumberFormat="1" applyFont="1" applyFill="1" applyBorder="1" applyAlignment="1">
      <alignment vertical="top"/>
      <protection/>
    </xf>
    <xf numFmtId="3" fontId="4" fillId="33" borderId="13" xfId="62" applyNumberFormat="1" applyFont="1" applyFill="1" applyBorder="1" applyAlignment="1">
      <alignment horizontal="left" vertical="top" wrapText="1"/>
      <protection/>
    </xf>
    <xf numFmtId="49" fontId="10" fillId="33" borderId="10" xfId="0" applyNumberFormat="1" applyFont="1" applyFill="1" applyBorder="1" applyAlignment="1">
      <alignment horizontal="left" vertical="top" wrapText="1"/>
    </xf>
    <xf numFmtId="4" fontId="5" fillId="19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3" xfId="55" applyNumberFormat="1" applyFont="1" applyFill="1" applyBorder="1" applyAlignment="1">
      <alignment horizontal="center" vertical="center" wrapText="1"/>
      <protection/>
    </xf>
    <xf numFmtId="4" fontId="5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/>
    </xf>
    <xf numFmtId="3" fontId="4" fillId="33" borderId="10" xfId="62" applyNumberFormat="1" applyFont="1" applyFill="1" applyBorder="1" applyAlignment="1">
      <alignment horizontal="left" vertical="top" wrapText="1"/>
      <protection/>
    </xf>
    <xf numFmtId="3" fontId="4" fillId="33" borderId="10" xfId="62" applyNumberFormat="1" applyFont="1" applyFill="1" applyBorder="1" applyAlignment="1">
      <alignment vertical="top"/>
      <protection/>
    </xf>
    <xf numFmtId="0" fontId="4" fillId="33" borderId="10" xfId="63" applyFont="1" applyFill="1" applyBorder="1" applyAlignment="1">
      <alignment horizontal="left" vertical="top" wrapText="1"/>
      <protection/>
    </xf>
    <xf numFmtId="3" fontId="4" fillId="19" borderId="12" xfId="62" applyNumberFormat="1" applyFont="1" applyFill="1" applyBorder="1" applyAlignment="1">
      <alignment horizontal="left" vertical="top" wrapText="1"/>
      <protection/>
    </xf>
    <xf numFmtId="4" fontId="5" fillId="19" borderId="12" xfId="0" applyNumberFormat="1" applyFont="1" applyFill="1" applyBorder="1" applyAlignment="1">
      <alignment horizontal="center" vertical="center" wrapText="1"/>
    </xf>
    <xf numFmtId="4" fontId="5" fillId="19" borderId="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 wrapText="1"/>
    </xf>
    <xf numFmtId="0" fontId="5" fillId="19" borderId="11" xfId="0" applyFont="1" applyFill="1" applyBorder="1" applyAlignment="1">
      <alignment vertical="top"/>
    </xf>
    <xf numFmtId="0" fontId="4" fillId="19" borderId="12" xfId="0" applyFont="1" applyFill="1" applyBorder="1" applyAlignment="1">
      <alignment horizontal="left" vertical="top" wrapText="1"/>
    </xf>
    <xf numFmtId="4" fontId="5" fillId="19" borderId="14" xfId="0" applyNumberFormat="1" applyFont="1" applyFill="1" applyBorder="1" applyAlignment="1">
      <alignment horizontal="center" vertical="center" wrapText="1"/>
    </xf>
    <xf numFmtId="3" fontId="4" fillId="33" borderId="10" xfId="62" applyNumberFormat="1" applyFont="1" applyFill="1" applyBorder="1" applyAlignment="1">
      <alignment vertical="top" wrapText="1"/>
      <protection/>
    </xf>
    <xf numFmtId="0" fontId="4" fillId="33" borderId="13" xfId="0" applyFont="1" applyFill="1" applyBorder="1" applyAlignment="1">
      <alignment vertical="top" wrapText="1"/>
    </xf>
    <xf numFmtId="4" fontId="5" fillId="19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top" wrapText="1"/>
    </xf>
    <xf numFmtId="4" fontId="4" fillId="33" borderId="16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3" fontId="4" fillId="33" borderId="16" xfId="62" applyNumberFormat="1" applyFont="1" applyFill="1" applyBorder="1" applyAlignment="1">
      <alignment vertical="top"/>
      <protection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4" fontId="4" fillId="33" borderId="16" xfId="55" applyNumberFormat="1" applyFont="1" applyFill="1" applyBorder="1" applyAlignment="1">
      <alignment horizontal="center" vertical="center" wrapText="1"/>
      <protection/>
    </xf>
    <xf numFmtId="193" fontId="4" fillId="33" borderId="10" xfId="0" applyNumberFormat="1" applyFont="1" applyFill="1" applyBorder="1" applyAlignment="1">
      <alignment vertical="top"/>
    </xf>
    <xf numFmtId="193" fontId="4" fillId="33" borderId="10" xfId="0" applyNumberFormat="1" applyFont="1" applyFill="1" applyBorder="1" applyAlignment="1">
      <alignment horizontal="left" vertical="top" wrapText="1"/>
    </xf>
    <xf numFmtId="193" fontId="4" fillId="33" borderId="0" xfId="0" applyNumberFormat="1" applyFont="1" applyFill="1" applyAlignment="1">
      <alignment horizontal="center" vertical="top"/>
    </xf>
    <xf numFmtId="193" fontId="4" fillId="33" borderId="0" xfId="0" applyNumberFormat="1" applyFont="1" applyFill="1" applyAlignment="1">
      <alignment vertical="top"/>
    </xf>
    <xf numFmtId="0" fontId="4" fillId="33" borderId="16" xfId="0" applyFont="1" applyFill="1" applyBorder="1" applyAlignment="1">
      <alignment vertical="top"/>
    </xf>
    <xf numFmtId="3" fontId="4" fillId="33" borderId="16" xfId="62" applyNumberFormat="1" applyFont="1" applyFill="1" applyBorder="1" applyAlignment="1">
      <alignment horizontal="left" vertical="top" wrapText="1"/>
      <protection/>
    </xf>
    <xf numFmtId="3" fontId="4" fillId="19" borderId="14" xfId="62" applyNumberFormat="1" applyFont="1" applyFill="1" applyBorder="1" applyAlignment="1">
      <alignment horizontal="left" vertical="top" wrapText="1"/>
      <protection/>
    </xf>
    <xf numFmtId="4" fontId="5" fillId="19" borderId="14" xfId="0" applyNumberFormat="1" applyFont="1" applyFill="1" applyBorder="1" applyAlignment="1">
      <alignment horizontal="center" vertical="center"/>
    </xf>
    <xf numFmtId="3" fontId="5" fillId="19" borderId="10" xfId="62" applyNumberFormat="1" applyFont="1" applyFill="1" applyBorder="1" applyAlignment="1">
      <alignment vertical="top"/>
      <protection/>
    </xf>
    <xf numFmtId="3" fontId="4" fillId="19" borderId="10" xfId="62" applyNumberFormat="1" applyFont="1" applyFill="1" applyBorder="1" applyAlignment="1">
      <alignment horizontal="left" vertical="top" wrapText="1"/>
      <protection/>
    </xf>
    <xf numFmtId="3" fontId="5" fillId="19" borderId="17" xfId="62" applyNumberFormat="1" applyFont="1" applyFill="1" applyBorder="1" applyAlignment="1">
      <alignment vertical="top"/>
      <protection/>
    </xf>
    <xf numFmtId="3" fontId="4" fillId="19" borderId="18" xfId="62" applyNumberFormat="1" applyFont="1" applyFill="1" applyBorder="1" applyAlignment="1">
      <alignment horizontal="left" vertical="top" wrapText="1"/>
      <protection/>
    </xf>
    <xf numFmtId="4" fontId="5" fillId="19" borderId="18" xfId="0" applyNumberFormat="1" applyFont="1" applyFill="1" applyBorder="1" applyAlignment="1">
      <alignment horizontal="center" vertical="center" wrapText="1"/>
    </xf>
    <xf numFmtId="182" fontId="5" fillId="19" borderId="11" xfId="62" applyNumberFormat="1" applyFont="1" applyFill="1" applyBorder="1" applyAlignment="1">
      <alignment vertical="top"/>
      <protection/>
    </xf>
    <xf numFmtId="182" fontId="4" fillId="19" borderId="12" xfId="62" applyNumberFormat="1" applyFont="1" applyFill="1" applyBorder="1" applyAlignment="1">
      <alignment horizontal="left" vertical="top" wrapText="1"/>
      <protection/>
    </xf>
    <xf numFmtId="182" fontId="5" fillId="19" borderId="0" xfId="0" applyNumberFormat="1" applyFont="1" applyFill="1" applyAlignment="1">
      <alignment horizontal="center" vertical="top"/>
    </xf>
    <xf numFmtId="182" fontId="5" fillId="19" borderId="0" xfId="0" applyNumberFormat="1" applyFont="1" applyFill="1" applyAlignment="1">
      <alignment vertical="top"/>
    </xf>
    <xf numFmtId="4" fontId="5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left" vertical="top" wrapText="1"/>
    </xf>
    <xf numFmtId="0" fontId="5" fillId="19" borderId="0" xfId="0" applyFont="1" applyFill="1" applyBorder="1" applyAlignment="1">
      <alignment horizontal="center" vertical="top"/>
    </xf>
    <xf numFmtId="0" fontId="5" fillId="19" borderId="0" xfId="0" applyFont="1" applyFill="1" applyBorder="1" applyAlignment="1">
      <alignment vertical="top"/>
    </xf>
    <xf numFmtId="3" fontId="4" fillId="33" borderId="10" xfId="74" applyNumberFormat="1" applyFont="1" applyFill="1" applyBorder="1" applyAlignment="1">
      <alignment horizontal="left" vertical="top" wrapText="1"/>
    </xf>
    <xf numFmtId="3" fontId="4" fillId="19" borderId="18" xfId="74" applyNumberFormat="1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4" fontId="5" fillId="19" borderId="20" xfId="0" applyNumberFormat="1" applyFont="1" applyFill="1" applyBorder="1" applyAlignment="1">
      <alignment horizontal="center" vertical="center" wrapText="1"/>
    </xf>
    <xf numFmtId="4" fontId="4" fillId="19" borderId="16" xfId="0" applyNumberFormat="1" applyFont="1" applyFill="1" applyBorder="1" applyAlignment="1">
      <alignment horizontal="center" vertical="center" wrapText="1"/>
    </xf>
    <xf numFmtId="4" fontId="5" fillId="19" borderId="21" xfId="0" applyNumberFormat="1" applyFont="1" applyFill="1" applyBorder="1" applyAlignment="1">
      <alignment horizontal="center" vertical="center" wrapText="1"/>
    </xf>
    <xf numFmtId="3" fontId="4" fillId="33" borderId="15" xfId="62" applyNumberFormat="1" applyFont="1" applyFill="1" applyBorder="1" applyAlignment="1">
      <alignment vertical="top"/>
      <protection/>
    </xf>
    <xf numFmtId="3" fontId="4" fillId="33" borderId="15" xfId="62" applyNumberFormat="1" applyFont="1" applyFill="1" applyBorder="1" applyAlignment="1">
      <alignment horizontal="left" vertical="top" wrapText="1"/>
      <protection/>
    </xf>
    <xf numFmtId="4" fontId="4" fillId="19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4" fillId="19" borderId="13" xfId="0" applyNumberFormat="1" applyFont="1" applyFill="1" applyBorder="1" applyAlignment="1">
      <alignment horizontal="center" vertical="center" wrapText="1"/>
    </xf>
    <xf numFmtId="4" fontId="5" fillId="19" borderId="22" xfId="0" applyNumberFormat="1" applyFont="1" applyFill="1" applyBorder="1" applyAlignment="1">
      <alignment horizontal="center" vertical="center" wrapText="1"/>
    </xf>
    <xf numFmtId="49" fontId="6" fillId="19" borderId="0" xfId="0" applyNumberFormat="1" applyFont="1" applyFill="1" applyAlignment="1">
      <alignment horizontal="center" vertical="center"/>
    </xf>
    <xf numFmtId="4" fontId="4" fillId="19" borderId="0" xfId="0" applyNumberFormat="1" applyFont="1" applyFill="1" applyAlignment="1">
      <alignment horizontal="center" vertical="center"/>
    </xf>
    <xf numFmtId="183" fontId="4" fillId="19" borderId="0" xfId="0" applyNumberFormat="1" applyFont="1" applyFill="1" applyAlignment="1">
      <alignment horizontal="center" vertical="center"/>
    </xf>
    <xf numFmtId="183" fontId="4" fillId="33" borderId="0" xfId="0" applyNumberFormat="1" applyFont="1" applyFill="1" applyAlignment="1">
      <alignment horizontal="center" vertical="center"/>
    </xf>
    <xf numFmtId="181" fontId="4" fillId="33" borderId="0" xfId="0" applyNumberFormat="1" applyFont="1" applyFill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199" fontId="4" fillId="33" borderId="0" xfId="0" applyNumberFormat="1" applyFont="1" applyFill="1" applyAlignment="1">
      <alignment horizontal="center" vertical="center"/>
    </xf>
    <xf numFmtId="3" fontId="4" fillId="33" borderId="23" xfId="62" applyNumberFormat="1" applyFont="1" applyFill="1" applyBorder="1" applyAlignment="1">
      <alignment vertical="top"/>
      <protection/>
    </xf>
    <xf numFmtId="4" fontId="14" fillId="19" borderId="16" xfId="0" applyNumberFormat="1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4" fontId="4" fillId="19" borderId="23" xfId="0" applyNumberFormat="1" applyFont="1" applyFill="1" applyBorder="1" applyAlignment="1">
      <alignment horizontal="center" vertical="center" wrapText="1"/>
    </xf>
    <xf numFmtId="0" fontId="4" fillId="19" borderId="24" xfId="0" applyFont="1" applyFill="1" applyBorder="1" applyAlignment="1">
      <alignment horizontal="center" vertical="center" wrapText="1"/>
    </xf>
    <xf numFmtId="0" fontId="4" fillId="33" borderId="16" xfId="62" applyFont="1" applyFill="1" applyBorder="1" applyAlignment="1">
      <alignment horizontal="center" vertical="center" wrapText="1"/>
      <protection/>
    </xf>
    <xf numFmtId="0" fontId="4" fillId="33" borderId="15" xfId="62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25" xfId="62" applyFont="1" applyFill="1" applyBorder="1" applyAlignment="1">
      <alignment horizontal="center" vertical="center" wrapText="1"/>
      <protection/>
    </xf>
    <xf numFmtId="0" fontId="4" fillId="33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6" xfId="62" applyFont="1" applyFill="1" applyBorder="1" applyAlignment="1">
      <alignment horizontal="center" vertical="center" wrapText="1"/>
      <protection/>
    </xf>
    <xf numFmtId="0" fontId="4" fillId="33" borderId="19" xfId="62" applyFont="1" applyFill="1" applyBorder="1" applyAlignment="1">
      <alignment horizontal="center" vertical="center" wrapText="1"/>
      <protection/>
    </xf>
    <xf numFmtId="0" fontId="4" fillId="33" borderId="20" xfId="62" applyFont="1" applyFill="1" applyBorder="1" applyAlignment="1">
      <alignment horizontal="center" vertical="center" wrapText="1"/>
      <protection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62" applyFont="1" applyFill="1" applyBorder="1" applyAlignment="1">
      <alignment horizontal="center" vertical="center" wrapText="1"/>
      <protection/>
    </xf>
    <xf numFmtId="0" fontId="4" fillId="33" borderId="0" xfId="62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93" fontId="4" fillId="33" borderId="25" xfId="0" applyNumberFormat="1" applyFont="1" applyFill="1" applyBorder="1" applyAlignment="1">
      <alignment horizontal="center" vertical="center" wrapText="1"/>
    </xf>
    <xf numFmtId="193" fontId="4" fillId="33" borderId="26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  <xf numFmtId="195" fontId="4" fillId="33" borderId="16" xfId="0" applyNumberFormat="1" applyFont="1" applyFill="1" applyBorder="1" applyAlignment="1">
      <alignment horizontal="center" vertical="center" wrapText="1"/>
    </xf>
    <xf numFmtId="195" fontId="4" fillId="33" borderId="15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83" fontId="4" fillId="33" borderId="25" xfId="0" applyNumberFormat="1" applyFont="1" applyFill="1" applyBorder="1" applyAlignment="1">
      <alignment horizontal="center" vertical="center" wrapText="1"/>
    </xf>
    <xf numFmtId="183" fontId="4" fillId="33" borderId="19" xfId="0" applyNumberFormat="1" applyFont="1" applyFill="1" applyBorder="1" applyAlignment="1">
      <alignment horizontal="center" vertical="center" wrapText="1"/>
    </xf>
    <xf numFmtId="181" fontId="4" fillId="33" borderId="16" xfId="0" applyNumberFormat="1" applyFont="1" applyFill="1" applyBorder="1" applyAlignment="1">
      <alignment horizontal="center" vertical="center" wrapText="1"/>
    </xf>
    <xf numFmtId="181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4" fontId="14" fillId="19" borderId="25" xfId="0" applyNumberFormat="1" applyFont="1" applyFill="1" applyBorder="1" applyAlignment="1">
      <alignment horizontal="center" vertical="center" wrapText="1"/>
    </xf>
    <xf numFmtId="4" fontId="13" fillId="19" borderId="31" xfId="0" applyNumberFormat="1" applyFont="1" applyFill="1" applyBorder="1" applyAlignment="1">
      <alignment horizontal="center" vertical="center" wrapText="1"/>
    </xf>
    <xf numFmtId="4" fontId="13" fillId="19" borderId="26" xfId="0" applyNumberFormat="1" applyFont="1" applyFill="1" applyBorder="1" applyAlignment="1">
      <alignment horizontal="center" vertical="center" wrapText="1"/>
    </xf>
    <xf numFmtId="4" fontId="13" fillId="19" borderId="27" xfId="0" applyNumberFormat="1" applyFont="1" applyFill="1" applyBorder="1" applyAlignment="1">
      <alignment horizontal="center" vertical="center" wrapText="1"/>
    </xf>
    <xf numFmtId="4" fontId="13" fillId="19" borderId="30" xfId="0" applyNumberFormat="1" applyFont="1" applyFill="1" applyBorder="1" applyAlignment="1">
      <alignment horizontal="center" vertical="center" wrapText="1"/>
    </xf>
    <xf numFmtId="4" fontId="13" fillId="19" borderId="28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3 2" xfId="57"/>
    <cellStyle name="Обычный 6" xfId="58"/>
    <cellStyle name="Обычный 7" xfId="59"/>
    <cellStyle name="Обычный 8" xfId="60"/>
    <cellStyle name="Обычный 9" xfId="61"/>
    <cellStyle name="Обычный_Дотации краев федер бюджет 2001 2" xfId="62"/>
    <cellStyle name="Обычный_РЕЕСТР НА ПРИОБР 2011  ноябрь_приобретение на 01.11.201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 6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_Дотации краев федер бюджет 2001 2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866775</xdr:colOff>
      <xdr:row>7</xdr:row>
      <xdr:rowOff>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0" y="7200900"/>
          <a:ext cx="6048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Руководитель органа, уполномоченного высшим органом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исполнительной власти субъекта Российской Федерации 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(должность)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(подпись)  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(расшифровка подписи)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бухгалтер органа, уполномоченного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высшим органом исполнительной власти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субъекта Российской Федерации                  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(подпись)  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(расшифровка подписи)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"_____" _______________________ 20     г.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М.П.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Исполнитель: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(Ф.И.О)   тел.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заполняется по видам сельскохозяйственных товаропроизводителей: сельскохозяйственные организации, крестьянские (фермерские) хозяйства и т.п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del_08\&#1041;&#1102;&#1076;&#1078;&#1077;&#1090;\&#1057;&#1091;&#1073;&#1089;&#1080;&#1076;&#1080;&#1080;%20&#1089;&#1091;&#1073;&#1074;&#1077;&#1085;&#1094;&#1080;&#1080;%202016\&#1055;&#1077;&#1088;&#1077;&#1095;&#1077;&#1085;&#1100;%20&#1087;&#1086;&#1083;&#1091;&#1095;&#1072;&#1090;&#1077;&#1083;&#1077;&#1081;%20&#1079;&#1072;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del_08\&#1041;&#1102;&#1076;&#1078;&#1077;&#1090;\&#1057;&#1091;&#1073;&#1089;&#1080;&#1076;&#1080;&#1080;%20&#1089;&#1091;&#1073;&#1074;&#1077;&#1085;&#1094;&#1080;&#1080;%202016\&#1056;&#1077;&#1077;&#1089;&#1090;&#1088;%20&#1089;%20&#1087;&#1088;&#1072;&#1074;&#1082;&#1072;&#1084;&#1080;%20ot_27_04_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_&#1048;&#1089;&#1087;&#1086;&#1083;&#1085;&#1077;&#1085;&#1080;&#1103;_&#1073;&#1102;&#1076;&#1078;&#1077;&#1090;&#1072;_04\&#1054;&#1090;&#1095;&#1077;&#1090;&#1099;%20&#1087;&#1086;%20&#1060;&#1077;&#1076;&#1077;&#1088;&#1072;&#1094;&#1080;&#1080;%20&#1080;%20&#1082;&#1088;&#1072;&#1102;\2013%20&#1075;&#1086;&#1076;\&#1043;&#1055;-61%20&#1087;&#1072;&#1096;&#1085;&#1103;\01.01\&#1043;&#1055;-61&#1088;%20&#1089;%202013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без прочего на жив"/>
      <sheetName val="реестр Красноярский кр-й"/>
      <sheetName val="Лист2"/>
      <sheetName val="Лист3"/>
    </sheetNames>
    <sheetDataSet>
      <sheetData sheetId="2">
        <row r="1">
          <cell r="A1" t="str">
            <v>СХО</v>
          </cell>
        </row>
        <row r="2">
          <cell r="A2" t="str">
            <v>организации АПК</v>
          </cell>
        </row>
        <row r="3">
          <cell r="A3" t="str">
            <v>ЛПХ</v>
          </cell>
        </row>
        <row r="4">
          <cell r="A4" t="str">
            <v>ИП</v>
          </cell>
        </row>
        <row r="5">
          <cell r="A5" t="str">
            <v>КФХ</v>
          </cell>
        </row>
        <row r="6">
          <cell r="A6" t="str">
            <v>СПоК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A1" t="str">
            <v>СХО</v>
          </cell>
        </row>
        <row r="2">
          <cell r="A2" t="str">
            <v>организации АПК</v>
          </cell>
        </row>
        <row r="3">
          <cell r="A3" t="str">
            <v>организации потребкооперации</v>
          </cell>
        </row>
        <row r="4">
          <cell r="A4" t="str">
            <v>ЛПХ</v>
          </cell>
        </row>
        <row r="5">
          <cell r="A5" t="str">
            <v>ИП</v>
          </cell>
        </row>
        <row r="6">
          <cell r="A6" t="str">
            <v>КФХ</v>
          </cell>
        </row>
        <row r="7">
          <cell r="A7" t="str">
            <v>СПоК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Завоз семян"/>
      <sheetName val="Списки"/>
      <sheetName val="Инструкция"/>
      <sheetName val="ФЛК (обязательный)"/>
    </sheetNames>
    <sheetDataSet>
      <sheetData sheetId="1">
        <row r="1">
          <cell r="A1" t="str">
            <v>СХО</v>
          </cell>
        </row>
        <row r="2">
          <cell r="A2" t="str">
            <v>организации АПК</v>
          </cell>
        </row>
        <row r="3">
          <cell r="A3" t="str">
            <v>СПоК</v>
          </cell>
        </row>
        <row r="4">
          <cell r="A4" t="str">
            <v>КФХ</v>
          </cell>
        </row>
        <row r="5">
          <cell r="A5" t="str">
            <v>ИП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V1125"/>
  <sheetViews>
    <sheetView showZeros="0" tabSelected="1" view="pageBreakPreview" zoomScale="80" zoomScaleNormal="55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642" sqref="F642"/>
    </sheetView>
  </sheetViews>
  <sheetFormatPr defaultColWidth="9.25390625" defaultRowHeight="91.5" customHeight="1" outlineLevelRow="3"/>
  <cols>
    <col min="1" max="1" width="21.375" style="5" customWidth="1"/>
    <col min="2" max="2" width="46.625" style="6" customWidth="1"/>
    <col min="3" max="3" width="29.375" style="103" customWidth="1"/>
    <col min="4" max="4" width="24.375" style="104" customWidth="1"/>
    <col min="5" max="5" width="24.75390625" style="104" customWidth="1"/>
    <col min="6" max="6" width="24.875" style="28" customWidth="1"/>
    <col min="7" max="7" width="23.25390625" style="28" customWidth="1"/>
    <col min="8" max="11" width="21.625" style="28" customWidth="1"/>
    <col min="12" max="12" width="26.25390625" style="106" customWidth="1"/>
    <col min="13" max="13" width="35.875" style="107" customWidth="1"/>
    <col min="14" max="14" width="21.25390625" style="28" customWidth="1"/>
    <col min="15" max="15" width="22.00390625" style="28" customWidth="1"/>
    <col min="16" max="16" width="27.25390625" style="28" customWidth="1"/>
    <col min="17" max="17" width="28.75390625" style="28" customWidth="1"/>
    <col min="18" max="18" width="23.625" style="28" customWidth="1"/>
    <col min="19" max="19" width="24.25390625" style="28" customWidth="1"/>
    <col min="20" max="20" width="23.625" style="28" customWidth="1"/>
    <col min="21" max="23" width="24.25390625" style="28" customWidth="1"/>
    <col min="24" max="24" width="21.125" style="28" customWidth="1"/>
    <col min="25" max="25" width="21.375" style="28" customWidth="1"/>
    <col min="26" max="26" width="19.125" style="28" customWidth="1"/>
    <col min="27" max="27" width="22.25390625" style="28" customWidth="1"/>
    <col min="28" max="28" width="20.00390625" style="28" customWidth="1"/>
    <col min="29" max="29" width="20.125" style="28" customWidth="1"/>
    <col min="30" max="30" width="20.00390625" style="106" customWidth="1"/>
    <col min="31" max="31" width="16.875" style="106" customWidth="1"/>
    <col min="32" max="32" width="21.875" style="28" customWidth="1"/>
    <col min="33" max="33" width="19.125" style="28" customWidth="1"/>
    <col min="34" max="34" width="19.875" style="28" customWidth="1"/>
    <col min="35" max="35" width="21.625" style="28" customWidth="1"/>
    <col min="36" max="36" width="22.25390625" style="28" customWidth="1"/>
    <col min="37" max="37" width="29.875" style="28" customWidth="1"/>
    <col min="38" max="38" width="28.75390625" style="28" customWidth="1"/>
    <col min="39" max="39" width="22.125" style="28" customWidth="1"/>
    <col min="40" max="40" width="22.00390625" style="28" customWidth="1"/>
    <col min="41" max="41" width="24.625" style="28" customWidth="1"/>
    <col min="42" max="42" width="19.75390625" style="28" customWidth="1"/>
    <col min="43" max="43" width="21.75390625" style="28" customWidth="1"/>
    <col min="44" max="45" width="22.00390625" style="106" customWidth="1"/>
    <col min="46" max="47" width="20.875" style="106" customWidth="1"/>
    <col min="48" max="48" width="25.625" style="106" customWidth="1"/>
    <col min="49" max="49" width="34.75390625" style="106" customWidth="1"/>
    <col min="50" max="50" width="28.375" style="28" customWidth="1"/>
    <col min="51" max="51" width="23.25390625" style="28" customWidth="1"/>
    <col min="52" max="52" width="23.875" style="106" customWidth="1"/>
    <col min="53" max="53" width="27.25390625" style="106" customWidth="1"/>
    <col min="54" max="54" width="37.125" style="106" customWidth="1"/>
    <col min="55" max="55" width="23.625" style="28" customWidth="1"/>
    <col min="56" max="56" width="31.875" style="28" customWidth="1"/>
    <col min="57" max="57" width="40.25390625" style="28" customWidth="1"/>
    <col min="58" max="58" width="22.00390625" style="106" customWidth="1"/>
    <col min="59" max="59" width="22.25390625" style="106" customWidth="1"/>
    <col min="60" max="60" width="23.625" style="106" customWidth="1"/>
    <col min="61" max="61" width="22.125" style="28" customWidth="1"/>
    <col min="62" max="62" width="30.375" style="10" customWidth="1"/>
    <col min="63" max="63" width="33.875" style="10" customWidth="1"/>
    <col min="64" max="64" width="29.625" style="10" customWidth="1"/>
    <col min="65" max="65" width="30.375" style="10" customWidth="1"/>
    <col min="66" max="66" width="28.25390625" style="10" customWidth="1"/>
    <col min="67" max="67" width="24.125" style="10" customWidth="1"/>
    <col min="68" max="70" width="22.25390625" style="10" customWidth="1"/>
    <col min="71" max="71" width="22.375" style="10" customWidth="1"/>
    <col min="72" max="72" width="23.75390625" style="10" customWidth="1"/>
    <col min="73" max="73" width="28.25390625" style="11" customWidth="1"/>
    <col min="74" max="74" width="9.25390625" style="12" customWidth="1"/>
    <col min="75" max="16384" width="9.25390625" style="5" customWidth="1"/>
  </cols>
  <sheetData>
    <row r="1" spans="3:61" ht="106.5" customHeight="1">
      <c r="C1" s="157" t="s">
        <v>1175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8"/>
      <c r="AE1" s="8"/>
      <c r="AF1" s="7"/>
      <c r="AG1" s="7"/>
      <c r="AH1" s="7"/>
      <c r="AI1" s="7"/>
      <c r="AJ1" s="7"/>
      <c r="AK1" s="7"/>
      <c r="AL1" s="9"/>
      <c r="AM1" s="7"/>
      <c r="AN1" s="7"/>
      <c r="AO1" s="7"/>
      <c r="AP1" s="7"/>
      <c r="AQ1" s="7"/>
      <c r="AR1" s="8"/>
      <c r="AS1" s="8"/>
      <c r="AT1" s="8"/>
      <c r="AU1" s="8"/>
      <c r="AV1" s="8"/>
      <c r="AW1" s="8"/>
      <c r="AX1" s="7"/>
      <c r="AY1" s="7"/>
      <c r="AZ1" s="8"/>
      <c r="BA1" s="8"/>
      <c r="BB1" s="8"/>
      <c r="BC1" s="7"/>
      <c r="BD1" s="7"/>
      <c r="BE1" s="7"/>
      <c r="BF1" s="8"/>
      <c r="BG1" s="158"/>
      <c r="BH1" s="158"/>
      <c r="BI1" s="158"/>
    </row>
    <row r="2" spans="3:72" ht="27" customHeight="1">
      <c r="C2" s="159"/>
      <c r="D2" s="160"/>
      <c r="E2" s="160"/>
      <c r="F2" s="13"/>
      <c r="G2" s="13"/>
      <c r="H2" s="13"/>
      <c r="I2" s="13"/>
      <c r="J2" s="13"/>
      <c r="K2" s="13"/>
      <c r="L2" s="14"/>
      <c r="M2" s="15"/>
      <c r="N2" s="13"/>
      <c r="O2" s="13"/>
      <c r="P2" s="13"/>
      <c r="Q2" s="13" t="s">
        <v>1125</v>
      </c>
      <c r="R2" s="13"/>
      <c r="S2" s="13"/>
      <c r="T2" s="13"/>
      <c r="U2" s="13"/>
      <c r="V2" s="13"/>
      <c r="W2" s="13"/>
      <c r="X2" s="13"/>
      <c r="Y2" s="13"/>
      <c r="Z2" s="16"/>
      <c r="AA2" s="16"/>
      <c r="AB2" s="16"/>
      <c r="AC2" s="16"/>
      <c r="AD2" s="14"/>
      <c r="AE2" s="14"/>
      <c r="AF2" s="13"/>
      <c r="AG2" s="13"/>
      <c r="AH2" s="16"/>
      <c r="AI2" s="16"/>
      <c r="AJ2" s="13" t="s">
        <v>1125</v>
      </c>
      <c r="AK2" s="16"/>
      <c r="AL2" s="16"/>
      <c r="AM2" s="16"/>
      <c r="AN2" s="16"/>
      <c r="AO2" s="16"/>
      <c r="AP2" s="16"/>
      <c r="AQ2" s="16"/>
      <c r="AR2" s="14"/>
      <c r="AS2" s="14"/>
      <c r="AT2" s="14"/>
      <c r="AU2" s="14"/>
      <c r="AV2" s="14"/>
      <c r="AW2" s="14"/>
      <c r="AX2" s="16"/>
      <c r="AY2" s="13"/>
      <c r="AZ2" s="14"/>
      <c r="BA2" s="13" t="s">
        <v>1125</v>
      </c>
      <c r="BB2" s="14"/>
      <c r="BC2" s="16"/>
      <c r="BD2" s="16"/>
      <c r="BE2" s="16"/>
      <c r="BF2" s="14"/>
      <c r="BG2" s="14"/>
      <c r="BH2" s="14"/>
      <c r="BI2" s="13"/>
      <c r="BP2" s="13" t="s">
        <v>1125</v>
      </c>
      <c r="BT2" s="13" t="s">
        <v>1125</v>
      </c>
    </row>
    <row r="3" spans="1:73" s="17" customFormat="1" ht="66" customHeight="1">
      <c r="A3" s="147" t="s">
        <v>249</v>
      </c>
      <c r="B3" s="161" t="s">
        <v>168</v>
      </c>
      <c r="C3" s="162" t="s">
        <v>1126</v>
      </c>
      <c r="D3" s="163"/>
      <c r="E3" s="164"/>
      <c r="F3" s="151" t="s">
        <v>1127</v>
      </c>
      <c r="G3" s="120"/>
      <c r="H3" s="151" t="s">
        <v>1128</v>
      </c>
      <c r="I3" s="120"/>
      <c r="J3" s="151" t="s">
        <v>1129</v>
      </c>
      <c r="K3" s="120"/>
      <c r="L3" s="144" t="s">
        <v>1130</v>
      </c>
      <c r="M3" s="154" t="s">
        <v>1131</v>
      </c>
      <c r="N3" s="151" t="s">
        <v>1132</v>
      </c>
      <c r="O3" s="120"/>
      <c r="P3" s="156" t="s">
        <v>1133</v>
      </c>
      <c r="Q3" s="156" t="s">
        <v>1134</v>
      </c>
      <c r="R3" s="151" t="s">
        <v>1135</v>
      </c>
      <c r="S3" s="120"/>
      <c r="T3" s="151" t="s">
        <v>1136</v>
      </c>
      <c r="U3" s="120"/>
      <c r="V3" s="151" t="s">
        <v>1137</v>
      </c>
      <c r="W3" s="120"/>
      <c r="X3" s="151" t="s">
        <v>1138</v>
      </c>
      <c r="Y3" s="120"/>
      <c r="Z3" s="128" t="s">
        <v>1139</v>
      </c>
      <c r="AA3" s="129"/>
      <c r="AB3" s="128" t="s">
        <v>1140</v>
      </c>
      <c r="AC3" s="129"/>
      <c r="AD3" s="152" t="s">
        <v>1141</v>
      </c>
      <c r="AE3" s="129"/>
      <c r="AF3" s="128" t="s">
        <v>1142</v>
      </c>
      <c r="AG3" s="129"/>
      <c r="AH3" s="148" t="s">
        <v>1143</v>
      </c>
      <c r="AI3" s="149"/>
      <c r="AJ3" s="150"/>
      <c r="AK3" s="146" t="s">
        <v>1144</v>
      </c>
      <c r="AL3" s="146" t="s">
        <v>482</v>
      </c>
      <c r="AM3" s="146" t="s">
        <v>1145</v>
      </c>
      <c r="AN3" s="146"/>
      <c r="AO3" s="146" t="s">
        <v>1146</v>
      </c>
      <c r="AP3" s="146"/>
      <c r="AQ3" s="146" t="s">
        <v>1147</v>
      </c>
      <c r="AR3" s="146" t="s">
        <v>793</v>
      </c>
      <c r="AS3" s="146"/>
      <c r="AT3" s="128" t="s">
        <v>1148</v>
      </c>
      <c r="AU3" s="129"/>
      <c r="AV3" s="132" t="s">
        <v>1149</v>
      </c>
      <c r="AW3" s="132" t="s">
        <v>1150</v>
      </c>
      <c r="AX3" s="132" t="s">
        <v>1151</v>
      </c>
      <c r="AY3" s="128" t="s">
        <v>1152</v>
      </c>
      <c r="AZ3" s="129"/>
      <c r="BA3" s="132" t="s">
        <v>1153</v>
      </c>
      <c r="BB3" s="132" t="s">
        <v>1154</v>
      </c>
      <c r="BC3" s="132" t="s">
        <v>1155</v>
      </c>
      <c r="BD3" s="144" t="s">
        <v>1156</v>
      </c>
      <c r="BE3" s="132" t="s">
        <v>1157</v>
      </c>
      <c r="BF3" s="140" t="s">
        <v>1158</v>
      </c>
      <c r="BG3" s="141"/>
      <c r="BH3" s="140" t="s">
        <v>1159</v>
      </c>
      <c r="BI3" s="141"/>
      <c r="BJ3" s="116" t="s">
        <v>1160</v>
      </c>
      <c r="BK3" s="116" t="s">
        <v>594</v>
      </c>
      <c r="BL3" s="116" t="s">
        <v>595</v>
      </c>
      <c r="BM3" s="116" t="s">
        <v>1161</v>
      </c>
      <c r="BN3" s="116" t="s">
        <v>1162</v>
      </c>
      <c r="BO3" s="119" t="s">
        <v>1163</v>
      </c>
      <c r="BP3" s="120"/>
      <c r="BQ3" s="119" t="s">
        <v>1164</v>
      </c>
      <c r="BR3" s="125"/>
      <c r="BS3" s="135" t="s">
        <v>1165</v>
      </c>
      <c r="BT3" s="135"/>
      <c r="BU3" s="136"/>
    </row>
    <row r="4" spans="1:73" s="17" customFormat="1" ht="43.5" customHeight="1" outlineLevel="1">
      <c r="A4" s="147"/>
      <c r="B4" s="161"/>
      <c r="C4" s="165"/>
      <c r="D4" s="166"/>
      <c r="E4" s="167"/>
      <c r="F4" s="121"/>
      <c r="G4" s="122"/>
      <c r="H4" s="121"/>
      <c r="I4" s="122"/>
      <c r="J4" s="121"/>
      <c r="K4" s="122"/>
      <c r="L4" s="145"/>
      <c r="M4" s="155"/>
      <c r="N4" s="121"/>
      <c r="O4" s="122"/>
      <c r="P4" s="134"/>
      <c r="Q4" s="134"/>
      <c r="R4" s="121"/>
      <c r="S4" s="122"/>
      <c r="T4" s="121"/>
      <c r="U4" s="122"/>
      <c r="V4" s="121"/>
      <c r="W4" s="122"/>
      <c r="X4" s="121"/>
      <c r="Y4" s="122"/>
      <c r="Z4" s="130"/>
      <c r="AA4" s="131"/>
      <c r="AB4" s="130"/>
      <c r="AC4" s="131"/>
      <c r="AD4" s="153"/>
      <c r="AE4" s="131"/>
      <c r="AF4" s="130"/>
      <c r="AG4" s="131"/>
      <c r="AH4" s="132" t="s">
        <v>1166</v>
      </c>
      <c r="AI4" s="138" t="s">
        <v>1167</v>
      </c>
      <c r="AJ4" s="139"/>
      <c r="AK4" s="146"/>
      <c r="AL4" s="146"/>
      <c r="AM4" s="146"/>
      <c r="AN4" s="146"/>
      <c r="AO4" s="146"/>
      <c r="AP4" s="146"/>
      <c r="AQ4" s="146"/>
      <c r="AR4" s="146"/>
      <c r="AS4" s="146"/>
      <c r="AT4" s="130"/>
      <c r="AU4" s="131"/>
      <c r="AV4" s="133"/>
      <c r="AW4" s="133"/>
      <c r="AX4" s="134"/>
      <c r="AY4" s="130"/>
      <c r="AZ4" s="131"/>
      <c r="BA4" s="133"/>
      <c r="BB4" s="134"/>
      <c r="BC4" s="133"/>
      <c r="BD4" s="145"/>
      <c r="BE4" s="133"/>
      <c r="BF4" s="142"/>
      <c r="BG4" s="143"/>
      <c r="BH4" s="142"/>
      <c r="BI4" s="143"/>
      <c r="BJ4" s="117"/>
      <c r="BK4" s="117"/>
      <c r="BL4" s="117"/>
      <c r="BM4" s="117"/>
      <c r="BN4" s="117"/>
      <c r="BO4" s="121"/>
      <c r="BP4" s="122"/>
      <c r="BQ4" s="126"/>
      <c r="BR4" s="127"/>
      <c r="BS4" s="135"/>
      <c r="BT4" s="135"/>
      <c r="BU4" s="136"/>
    </row>
    <row r="5" spans="1:73" s="17" customFormat="1" ht="204" customHeight="1" outlineLevel="1">
      <c r="A5" s="147"/>
      <c r="B5" s="161"/>
      <c r="C5" s="112" t="s">
        <v>1168</v>
      </c>
      <c r="D5" s="114" t="s">
        <v>1167</v>
      </c>
      <c r="E5" s="115"/>
      <c r="F5" s="123"/>
      <c r="G5" s="124"/>
      <c r="H5" s="123"/>
      <c r="I5" s="124"/>
      <c r="J5" s="123"/>
      <c r="K5" s="124"/>
      <c r="L5" s="118"/>
      <c r="M5" s="118"/>
      <c r="N5" s="123"/>
      <c r="O5" s="124"/>
      <c r="P5" s="118"/>
      <c r="Q5" s="118"/>
      <c r="R5" s="123"/>
      <c r="S5" s="124"/>
      <c r="T5" s="123"/>
      <c r="U5" s="124"/>
      <c r="V5" s="123"/>
      <c r="W5" s="124"/>
      <c r="X5" s="123"/>
      <c r="Y5" s="124"/>
      <c r="Z5" s="123"/>
      <c r="AA5" s="124"/>
      <c r="AB5" s="123"/>
      <c r="AC5" s="124"/>
      <c r="AD5" s="123"/>
      <c r="AE5" s="124"/>
      <c r="AF5" s="123"/>
      <c r="AG5" s="124"/>
      <c r="AH5" s="118"/>
      <c r="AI5" s="4" t="s">
        <v>1169</v>
      </c>
      <c r="AJ5" s="4" t="s">
        <v>1170</v>
      </c>
      <c r="AK5" s="146"/>
      <c r="AL5" s="146"/>
      <c r="AM5" s="146"/>
      <c r="AN5" s="146"/>
      <c r="AO5" s="146"/>
      <c r="AP5" s="146"/>
      <c r="AQ5" s="146"/>
      <c r="AR5" s="147"/>
      <c r="AS5" s="147"/>
      <c r="AT5" s="123"/>
      <c r="AU5" s="124"/>
      <c r="AV5" s="118"/>
      <c r="AW5" s="118"/>
      <c r="AX5" s="118"/>
      <c r="AY5" s="123"/>
      <c r="AZ5" s="124"/>
      <c r="BA5" s="118"/>
      <c r="BB5" s="118"/>
      <c r="BC5" s="118"/>
      <c r="BD5" s="118"/>
      <c r="BE5" s="118"/>
      <c r="BF5" s="123"/>
      <c r="BG5" s="124"/>
      <c r="BH5" s="123"/>
      <c r="BI5" s="124"/>
      <c r="BJ5" s="118"/>
      <c r="BK5" s="118"/>
      <c r="BL5" s="118"/>
      <c r="BM5" s="118"/>
      <c r="BN5" s="118"/>
      <c r="BO5" s="123"/>
      <c r="BP5" s="124"/>
      <c r="BQ5" s="123"/>
      <c r="BR5" s="124"/>
      <c r="BS5" s="135"/>
      <c r="BT5" s="135"/>
      <c r="BU5" s="137"/>
    </row>
    <row r="6" spans="1:73" s="17" customFormat="1" ht="84" customHeight="1" outlineLevel="1">
      <c r="A6" s="147"/>
      <c r="B6" s="161"/>
      <c r="C6" s="113"/>
      <c r="D6" s="2" t="s">
        <v>265</v>
      </c>
      <c r="E6" s="2" t="s">
        <v>1171</v>
      </c>
      <c r="F6" s="4" t="s">
        <v>265</v>
      </c>
      <c r="G6" s="4" t="s">
        <v>1171</v>
      </c>
      <c r="H6" s="4" t="s">
        <v>265</v>
      </c>
      <c r="I6" s="4" t="s">
        <v>1171</v>
      </c>
      <c r="J6" s="4" t="s">
        <v>265</v>
      </c>
      <c r="K6" s="4" t="s">
        <v>1171</v>
      </c>
      <c r="L6" s="4" t="s">
        <v>1171</v>
      </c>
      <c r="M6" s="4" t="s">
        <v>1171</v>
      </c>
      <c r="N6" s="4" t="s">
        <v>265</v>
      </c>
      <c r="O6" s="4" t="s">
        <v>1171</v>
      </c>
      <c r="P6" s="4" t="s">
        <v>1171</v>
      </c>
      <c r="Q6" s="4" t="s">
        <v>1171</v>
      </c>
      <c r="R6" s="4" t="s">
        <v>265</v>
      </c>
      <c r="S6" s="4" t="s">
        <v>1171</v>
      </c>
      <c r="T6" s="4" t="s">
        <v>265</v>
      </c>
      <c r="U6" s="4" t="s">
        <v>1171</v>
      </c>
      <c r="V6" s="4" t="s">
        <v>265</v>
      </c>
      <c r="W6" s="4" t="s">
        <v>1171</v>
      </c>
      <c r="X6" s="4" t="s">
        <v>265</v>
      </c>
      <c r="Y6" s="4" t="s">
        <v>1171</v>
      </c>
      <c r="Z6" s="4" t="s">
        <v>265</v>
      </c>
      <c r="AA6" s="4" t="s">
        <v>1171</v>
      </c>
      <c r="AB6" s="3" t="s">
        <v>83</v>
      </c>
      <c r="AC6" s="4" t="s">
        <v>1171</v>
      </c>
      <c r="AD6" s="3" t="s">
        <v>265</v>
      </c>
      <c r="AE6" s="4" t="s">
        <v>1171</v>
      </c>
      <c r="AF6" s="4" t="s">
        <v>265</v>
      </c>
      <c r="AG6" s="4" t="s">
        <v>1171</v>
      </c>
      <c r="AH6" s="4" t="s">
        <v>1171</v>
      </c>
      <c r="AI6" s="4" t="s">
        <v>1171</v>
      </c>
      <c r="AJ6" s="4" t="s">
        <v>1171</v>
      </c>
      <c r="AK6" s="4" t="s">
        <v>1171</v>
      </c>
      <c r="AL6" s="4" t="s">
        <v>1171</v>
      </c>
      <c r="AM6" s="4" t="s">
        <v>265</v>
      </c>
      <c r="AN6" s="4" t="s">
        <v>1171</v>
      </c>
      <c r="AO6" s="4" t="s">
        <v>265</v>
      </c>
      <c r="AP6" s="4" t="s">
        <v>1171</v>
      </c>
      <c r="AQ6" s="4" t="s">
        <v>1171</v>
      </c>
      <c r="AR6" s="4" t="s">
        <v>265</v>
      </c>
      <c r="AS6" s="4" t="s">
        <v>1171</v>
      </c>
      <c r="AT6" s="4" t="s">
        <v>265</v>
      </c>
      <c r="AU6" s="4" t="s">
        <v>1171</v>
      </c>
      <c r="AV6" s="4" t="s">
        <v>1171</v>
      </c>
      <c r="AW6" s="4" t="s">
        <v>1171</v>
      </c>
      <c r="AX6" s="4" t="s">
        <v>1171</v>
      </c>
      <c r="AY6" s="4" t="s">
        <v>265</v>
      </c>
      <c r="AZ6" s="4" t="s">
        <v>1171</v>
      </c>
      <c r="BA6" s="4" t="s">
        <v>1171</v>
      </c>
      <c r="BB6" s="4" t="s">
        <v>1171</v>
      </c>
      <c r="BC6" s="4" t="s">
        <v>1171</v>
      </c>
      <c r="BD6" s="4" t="s">
        <v>1171</v>
      </c>
      <c r="BE6" s="4" t="s">
        <v>1171</v>
      </c>
      <c r="BF6" s="3" t="s">
        <v>265</v>
      </c>
      <c r="BG6" s="4" t="s">
        <v>1171</v>
      </c>
      <c r="BH6" s="3" t="s">
        <v>265</v>
      </c>
      <c r="BI6" s="4" t="s">
        <v>1171</v>
      </c>
      <c r="BJ6" s="4" t="s">
        <v>1171</v>
      </c>
      <c r="BK6" s="4" t="s">
        <v>1171</v>
      </c>
      <c r="BL6" s="4" t="s">
        <v>1171</v>
      </c>
      <c r="BM6" s="4" t="s">
        <v>1171</v>
      </c>
      <c r="BN6" s="4" t="s">
        <v>1171</v>
      </c>
      <c r="BO6" s="4" t="s">
        <v>265</v>
      </c>
      <c r="BP6" s="4" t="s">
        <v>1171</v>
      </c>
      <c r="BQ6" s="4" t="s">
        <v>265</v>
      </c>
      <c r="BR6" s="4" t="s">
        <v>1171</v>
      </c>
      <c r="BS6" s="4" t="s">
        <v>265</v>
      </c>
      <c r="BT6" s="4" t="s">
        <v>1171</v>
      </c>
      <c r="BU6" s="16"/>
    </row>
    <row r="7" spans="1:73" s="21" customFormat="1" ht="36" customHeight="1" outlineLevel="1">
      <c r="A7" s="18"/>
      <c r="B7" s="19"/>
      <c r="C7" s="2"/>
      <c r="D7" s="2"/>
      <c r="E7" s="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4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16"/>
    </row>
    <row r="8" spans="1:73" ht="73.5" customHeight="1" outlineLevel="2">
      <c r="A8" s="19" t="s">
        <v>272</v>
      </c>
      <c r="B8" s="19" t="s">
        <v>22</v>
      </c>
      <c r="C8" s="2">
        <f>D8+E8</f>
        <v>1787.51192</v>
      </c>
      <c r="D8" s="1">
        <f aca="true" t="shared" si="0" ref="D8:D69">F8+J8+N8+R8+T8+Z8+AB8+AD8+AF8+AM8+AO8+AT8+AY8+BF8+BO8+BS8+H8+V8+X8+BQ8+AR8+BH8</f>
        <v>878.4668</v>
      </c>
      <c r="E8" s="1">
        <f aca="true" t="shared" si="1" ref="E8:E69">G8+I8+K8+L8+M8+O8+P8+Q8+S8+U8+W8+Y8+AA8+AC8+AE8+AG8+AH8+AK8+AL8+AN8+AP8+AQ8+AS8+AU8+AV8+AW8+AX8+AZ8+BA8+BB8+BC8+BD8+BE8+BG8+BI8+BJ8+BK8+BL8+BM8+BN8+BU8+BP8+BR8+BT8</f>
        <v>909.04512</v>
      </c>
      <c r="F8" s="22"/>
      <c r="G8" s="22"/>
      <c r="H8" s="22"/>
      <c r="I8" s="22"/>
      <c r="J8" s="22"/>
      <c r="K8" s="22"/>
      <c r="L8" s="22"/>
      <c r="M8" s="22"/>
      <c r="N8" s="4"/>
      <c r="O8" s="4"/>
      <c r="P8" s="4"/>
      <c r="Q8" s="4"/>
      <c r="R8" s="4"/>
      <c r="S8" s="22"/>
      <c r="T8" s="22"/>
      <c r="U8" s="22"/>
      <c r="V8" s="22"/>
      <c r="W8" s="22"/>
      <c r="X8" s="22"/>
      <c r="Y8" s="22"/>
      <c r="Z8" s="22">
        <v>54</v>
      </c>
      <c r="AA8" s="4">
        <v>28.6335</v>
      </c>
      <c r="AB8" s="23">
        <v>346.52127</v>
      </c>
      <c r="AC8" s="4">
        <v>151.50936</v>
      </c>
      <c r="AD8" s="22"/>
      <c r="AE8" s="22"/>
      <c r="AF8" s="22"/>
      <c r="AG8" s="22"/>
      <c r="AH8" s="20">
        <f>79.31704+93.6999</f>
        <v>173.01694</v>
      </c>
      <c r="AI8" s="4">
        <v>93.6999</v>
      </c>
      <c r="AJ8" s="22">
        <v>79.31704</v>
      </c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4"/>
      <c r="BA8" s="4"/>
      <c r="BB8" s="4"/>
      <c r="BC8" s="22"/>
      <c r="BD8" s="22">
        <v>257.446</v>
      </c>
      <c r="BE8" s="22"/>
      <c r="BF8" s="22">
        <v>477.94553</v>
      </c>
      <c r="BG8" s="4">
        <v>298.43932</v>
      </c>
      <c r="BH8" s="4"/>
      <c r="BI8" s="22"/>
      <c r="BJ8" s="22"/>
      <c r="BK8" s="22"/>
      <c r="BL8" s="22"/>
      <c r="BM8" s="22"/>
      <c r="BN8" s="22"/>
      <c r="BO8" s="4"/>
      <c r="BP8" s="4"/>
      <c r="BQ8" s="4"/>
      <c r="BR8" s="4"/>
      <c r="BS8" s="4"/>
      <c r="BT8" s="22"/>
      <c r="BU8" s="24"/>
    </row>
    <row r="9" spans="1:73" ht="73.5" customHeight="1" outlineLevel="2">
      <c r="A9" s="25" t="s">
        <v>272</v>
      </c>
      <c r="B9" s="25" t="s">
        <v>523</v>
      </c>
      <c r="C9" s="2">
        <f aca="true" t="shared" si="2" ref="C9:C69">D9+E9</f>
        <v>148.36696</v>
      </c>
      <c r="D9" s="1">
        <f t="shared" si="0"/>
        <v>19.37512</v>
      </c>
      <c r="E9" s="1">
        <f t="shared" si="1"/>
        <v>128.99184</v>
      </c>
      <c r="F9" s="22"/>
      <c r="G9" s="22"/>
      <c r="H9" s="22"/>
      <c r="I9" s="22"/>
      <c r="J9" s="22">
        <v>19.37512</v>
      </c>
      <c r="K9" s="22">
        <v>3.27805</v>
      </c>
      <c r="L9" s="22">
        <f>115.12404+10.58975</f>
        <v>125.71378999999999</v>
      </c>
      <c r="M9" s="22"/>
      <c r="N9" s="4"/>
      <c r="O9" s="4"/>
      <c r="P9" s="4"/>
      <c r="Q9" s="4"/>
      <c r="R9" s="4"/>
      <c r="S9" s="22"/>
      <c r="T9" s="22"/>
      <c r="U9" s="22"/>
      <c r="V9" s="22"/>
      <c r="W9" s="22"/>
      <c r="X9" s="22"/>
      <c r="Y9" s="22"/>
      <c r="Z9" s="22"/>
      <c r="AA9" s="4"/>
      <c r="AB9" s="23"/>
      <c r="AC9" s="4"/>
      <c r="AD9" s="22"/>
      <c r="AE9" s="22"/>
      <c r="AF9" s="22"/>
      <c r="AG9" s="22"/>
      <c r="AH9" s="20"/>
      <c r="AI9" s="4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4"/>
      <c r="BA9" s="4"/>
      <c r="BB9" s="4"/>
      <c r="BC9" s="22"/>
      <c r="BD9" s="22"/>
      <c r="BE9" s="22"/>
      <c r="BF9" s="22"/>
      <c r="BG9" s="4"/>
      <c r="BH9" s="4"/>
      <c r="BI9" s="22"/>
      <c r="BJ9" s="22"/>
      <c r="BK9" s="22"/>
      <c r="BL9" s="22"/>
      <c r="BM9" s="22"/>
      <c r="BN9" s="22"/>
      <c r="BO9" s="4"/>
      <c r="BP9" s="4"/>
      <c r="BQ9" s="4"/>
      <c r="BR9" s="4"/>
      <c r="BS9" s="4"/>
      <c r="BT9" s="22"/>
      <c r="BU9" s="24"/>
    </row>
    <row r="10" spans="1:73" ht="73.5" customHeight="1" outlineLevel="2">
      <c r="A10" s="25" t="s">
        <v>272</v>
      </c>
      <c r="B10" s="25" t="s">
        <v>287</v>
      </c>
      <c r="C10" s="2">
        <f t="shared" si="2"/>
        <v>815.30574</v>
      </c>
      <c r="D10" s="1">
        <f t="shared" si="0"/>
        <v>420.0725</v>
      </c>
      <c r="E10" s="1">
        <f t="shared" si="1"/>
        <v>395.23324</v>
      </c>
      <c r="F10" s="22"/>
      <c r="G10" s="22"/>
      <c r="H10" s="22"/>
      <c r="I10" s="22"/>
      <c r="J10" s="22"/>
      <c r="K10" s="22"/>
      <c r="L10" s="22"/>
      <c r="M10" s="22"/>
      <c r="N10" s="4"/>
      <c r="O10" s="4"/>
      <c r="P10" s="4"/>
      <c r="Q10" s="4"/>
      <c r="R10" s="4"/>
      <c r="S10" s="22"/>
      <c r="T10" s="22"/>
      <c r="U10" s="22"/>
      <c r="V10" s="22"/>
      <c r="W10" s="22"/>
      <c r="X10" s="22"/>
      <c r="Y10" s="22"/>
      <c r="Z10" s="22"/>
      <c r="AA10" s="4"/>
      <c r="AB10" s="23">
        <v>161.72108</v>
      </c>
      <c r="AC10" s="4">
        <v>93.23653</v>
      </c>
      <c r="AD10" s="22"/>
      <c r="AE10" s="22"/>
      <c r="AF10" s="22"/>
      <c r="AG10" s="22"/>
      <c r="AH10" s="20">
        <f>50.47448+89.9392</f>
        <v>140.41368</v>
      </c>
      <c r="AI10" s="4">
        <v>89.9392</v>
      </c>
      <c r="AJ10" s="22">
        <v>50.47448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4"/>
      <c r="BA10" s="4"/>
      <c r="BB10" s="4"/>
      <c r="BC10" s="22"/>
      <c r="BD10" s="22"/>
      <c r="BE10" s="22"/>
      <c r="BF10" s="22">
        <v>258.35142</v>
      </c>
      <c r="BG10" s="4">
        <v>161.58303</v>
      </c>
      <c r="BH10" s="4"/>
      <c r="BI10" s="22"/>
      <c r="BJ10" s="22"/>
      <c r="BK10" s="22"/>
      <c r="BL10" s="22"/>
      <c r="BM10" s="22"/>
      <c r="BN10" s="22"/>
      <c r="BO10" s="4"/>
      <c r="BP10" s="4"/>
      <c r="BQ10" s="4"/>
      <c r="BR10" s="4"/>
      <c r="BS10" s="4"/>
      <c r="BT10" s="22"/>
      <c r="BU10" s="24"/>
    </row>
    <row r="11" spans="1:73" ht="73.5" customHeight="1" outlineLevel="2">
      <c r="A11" s="25" t="s">
        <v>272</v>
      </c>
      <c r="B11" s="25" t="s">
        <v>1121</v>
      </c>
      <c r="C11" s="2">
        <f t="shared" si="2"/>
        <v>1872.80315</v>
      </c>
      <c r="D11" s="1">
        <f t="shared" si="0"/>
        <v>989.98966</v>
      </c>
      <c r="E11" s="1">
        <f t="shared" si="1"/>
        <v>882.81349</v>
      </c>
      <c r="F11" s="22"/>
      <c r="G11" s="22"/>
      <c r="H11" s="22"/>
      <c r="I11" s="22"/>
      <c r="J11" s="22">
        <v>14.41321</v>
      </c>
      <c r="K11" s="22">
        <v>0.63894</v>
      </c>
      <c r="L11" s="22"/>
      <c r="M11" s="22"/>
      <c r="N11" s="4"/>
      <c r="O11" s="4"/>
      <c r="P11" s="4"/>
      <c r="Q11" s="4"/>
      <c r="R11" s="4">
        <v>23.53289</v>
      </c>
      <c r="S11" s="22">
        <v>20.72422</v>
      </c>
      <c r="T11" s="22"/>
      <c r="U11" s="22"/>
      <c r="V11" s="22"/>
      <c r="W11" s="22"/>
      <c r="X11" s="22"/>
      <c r="Y11" s="22"/>
      <c r="Z11" s="22">
        <v>90</v>
      </c>
      <c r="AA11" s="4">
        <v>47.7495</v>
      </c>
      <c r="AB11" s="23">
        <v>277.25789</v>
      </c>
      <c r="AC11" s="4">
        <v>203.9549</v>
      </c>
      <c r="AD11" s="22"/>
      <c r="AE11" s="22"/>
      <c r="AF11" s="22"/>
      <c r="AG11" s="22"/>
      <c r="AH11" s="20">
        <f>106.35694+137.9253</f>
        <v>244.28224</v>
      </c>
      <c r="AI11" s="4">
        <v>137.9253</v>
      </c>
      <c r="AJ11" s="22">
        <v>106.35694</v>
      </c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4"/>
      <c r="BA11" s="4"/>
      <c r="BB11" s="4"/>
      <c r="BC11" s="22"/>
      <c r="BD11" s="22"/>
      <c r="BE11" s="22"/>
      <c r="BF11" s="22">
        <v>584.78567</v>
      </c>
      <c r="BG11" s="4">
        <v>365.46369</v>
      </c>
      <c r="BH11" s="4"/>
      <c r="BI11" s="22"/>
      <c r="BJ11" s="22"/>
      <c r="BK11" s="22"/>
      <c r="BL11" s="22"/>
      <c r="BM11" s="22"/>
      <c r="BN11" s="22"/>
      <c r="BO11" s="4"/>
      <c r="BP11" s="4"/>
      <c r="BQ11" s="4"/>
      <c r="BR11" s="4"/>
      <c r="BS11" s="4"/>
      <c r="BT11" s="22"/>
      <c r="BU11" s="24"/>
    </row>
    <row r="12" spans="1:73" ht="73.5" customHeight="1" outlineLevel="2">
      <c r="A12" s="25" t="s">
        <v>272</v>
      </c>
      <c r="B12" s="25" t="s">
        <v>18</v>
      </c>
      <c r="C12" s="2">
        <f t="shared" si="2"/>
        <v>6822.445710000001</v>
      </c>
      <c r="D12" s="1">
        <f t="shared" si="0"/>
        <v>4005.6128800000006</v>
      </c>
      <c r="E12" s="1">
        <f t="shared" si="1"/>
        <v>2816.8328300000003</v>
      </c>
      <c r="F12" s="22"/>
      <c r="G12" s="22"/>
      <c r="H12" s="22"/>
      <c r="I12" s="22"/>
      <c r="J12" s="22"/>
      <c r="K12" s="22"/>
      <c r="L12" s="22"/>
      <c r="M12" s="22"/>
      <c r="N12" s="4"/>
      <c r="O12" s="4"/>
      <c r="P12" s="4"/>
      <c r="Q12" s="4"/>
      <c r="R12" s="4">
        <v>1931.13001</v>
      </c>
      <c r="S12" s="22">
        <v>856.52554</v>
      </c>
      <c r="T12" s="22"/>
      <c r="U12" s="22"/>
      <c r="V12" s="22"/>
      <c r="W12" s="22"/>
      <c r="X12" s="22"/>
      <c r="Y12" s="22"/>
      <c r="Z12" s="22">
        <v>19.30643</v>
      </c>
      <c r="AA12" s="4">
        <v>40.932</v>
      </c>
      <c r="AB12" s="23">
        <v>1011.52445</v>
      </c>
      <c r="AC12" s="4">
        <v>311.87618</v>
      </c>
      <c r="AD12" s="22"/>
      <c r="AE12" s="22"/>
      <c r="AF12" s="22"/>
      <c r="AG12" s="22"/>
      <c r="AH12" s="20">
        <f>142.12215+691.6988+121.4338</f>
        <v>955.2547500000001</v>
      </c>
      <c r="AI12" s="4">
        <v>813.1326</v>
      </c>
      <c r="AJ12" s="22">
        <v>142.12215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4"/>
      <c r="BA12" s="4"/>
      <c r="BB12" s="4"/>
      <c r="BC12" s="22"/>
      <c r="BD12" s="22"/>
      <c r="BE12" s="22"/>
      <c r="BF12" s="22">
        <v>1043.65199</v>
      </c>
      <c r="BG12" s="4">
        <v>652.24436</v>
      </c>
      <c r="BH12" s="4"/>
      <c r="BI12" s="22"/>
      <c r="BJ12" s="22"/>
      <c r="BK12" s="22"/>
      <c r="BL12" s="22"/>
      <c r="BM12" s="22"/>
      <c r="BN12" s="22"/>
      <c r="BO12" s="4"/>
      <c r="BP12" s="4"/>
      <c r="BQ12" s="4"/>
      <c r="BR12" s="4"/>
      <c r="BS12" s="4"/>
      <c r="BT12" s="22"/>
      <c r="BU12" s="24"/>
    </row>
    <row r="13" spans="1:73" ht="73.5" customHeight="1" outlineLevel="2">
      <c r="A13" s="25" t="s">
        <v>272</v>
      </c>
      <c r="B13" s="25" t="s">
        <v>254</v>
      </c>
      <c r="C13" s="2">
        <f t="shared" si="2"/>
        <v>2166.29125</v>
      </c>
      <c r="D13" s="1">
        <f t="shared" si="0"/>
        <v>1320.9222100000002</v>
      </c>
      <c r="E13" s="1">
        <f t="shared" si="1"/>
        <v>845.36904</v>
      </c>
      <c r="F13" s="22"/>
      <c r="G13" s="22"/>
      <c r="H13" s="22"/>
      <c r="I13" s="22"/>
      <c r="J13" s="22">
        <v>202.41971</v>
      </c>
      <c r="K13" s="22">
        <v>54.95952</v>
      </c>
      <c r="L13" s="22">
        <v>136.23579</v>
      </c>
      <c r="M13" s="22"/>
      <c r="N13" s="4"/>
      <c r="O13" s="4"/>
      <c r="P13" s="4"/>
      <c r="Q13" s="4"/>
      <c r="R13" s="4"/>
      <c r="S13" s="22"/>
      <c r="T13" s="22"/>
      <c r="U13" s="22"/>
      <c r="V13" s="22"/>
      <c r="W13" s="22"/>
      <c r="X13" s="22"/>
      <c r="Y13" s="22"/>
      <c r="Z13" s="22">
        <v>16.507</v>
      </c>
      <c r="AA13" s="4">
        <v>25.7175</v>
      </c>
      <c r="AB13" s="23">
        <v>722.53974</v>
      </c>
      <c r="AC13" s="4">
        <v>271.31829</v>
      </c>
      <c r="AD13" s="22"/>
      <c r="AE13" s="22"/>
      <c r="AF13" s="22"/>
      <c r="AG13" s="22"/>
      <c r="AH13" s="20">
        <f>63.0931+44.61735</f>
        <v>107.71045000000001</v>
      </c>
      <c r="AI13" s="4">
        <v>44.61735</v>
      </c>
      <c r="AJ13" s="22">
        <v>63.0931</v>
      </c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4">
        <v>11.9808</v>
      </c>
      <c r="BA13" s="4"/>
      <c r="BB13" s="4"/>
      <c r="BC13" s="22"/>
      <c r="BD13" s="22"/>
      <c r="BE13" s="22"/>
      <c r="BF13" s="22">
        <v>379.45576</v>
      </c>
      <c r="BG13" s="4">
        <v>237.44669</v>
      </c>
      <c r="BH13" s="4"/>
      <c r="BI13" s="22"/>
      <c r="BJ13" s="22"/>
      <c r="BK13" s="22"/>
      <c r="BL13" s="22"/>
      <c r="BM13" s="22"/>
      <c r="BN13" s="22"/>
      <c r="BO13" s="4"/>
      <c r="BP13" s="4"/>
      <c r="BQ13" s="4"/>
      <c r="BR13" s="4"/>
      <c r="BS13" s="4"/>
      <c r="BT13" s="22"/>
      <c r="BU13" s="24"/>
    </row>
    <row r="14" spans="1:73" ht="73.5" customHeight="1" outlineLevel="2">
      <c r="A14" s="25" t="s">
        <v>272</v>
      </c>
      <c r="B14" s="25" t="s">
        <v>64</v>
      </c>
      <c r="C14" s="2">
        <f t="shared" si="2"/>
        <v>44518.74031</v>
      </c>
      <c r="D14" s="1">
        <f t="shared" si="0"/>
        <v>10058.99387</v>
      </c>
      <c r="E14" s="1">
        <f t="shared" si="1"/>
        <v>34459.74644</v>
      </c>
      <c r="F14" s="22"/>
      <c r="G14" s="22"/>
      <c r="H14" s="22">
        <v>2277.3157</v>
      </c>
      <c r="I14" s="22">
        <v>1347.04691</v>
      </c>
      <c r="J14" s="22"/>
      <c r="K14" s="22"/>
      <c r="L14" s="22">
        <f>4145.47539+81.59249</f>
        <v>4227.06788</v>
      </c>
      <c r="M14" s="22">
        <v>20052.67616</v>
      </c>
      <c r="N14" s="4"/>
      <c r="O14" s="4"/>
      <c r="P14" s="4"/>
      <c r="Q14" s="4"/>
      <c r="R14" s="4"/>
      <c r="S14" s="22"/>
      <c r="T14" s="22"/>
      <c r="U14" s="22"/>
      <c r="V14" s="22"/>
      <c r="W14" s="22"/>
      <c r="X14" s="22"/>
      <c r="Y14" s="22"/>
      <c r="Z14" s="22">
        <v>324.27554</v>
      </c>
      <c r="AA14" s="4">
        <v>220.3245</v>
      </c>
      <c r="AB14" s="23">
        <v>2193.18873</v>
      </c>
      <c r="AC14" s="4">
        <v>642.86586</v>
      </c>
      <c r="AD14" s="22"/>
      <c r="AE14" s="22"/>
      <c r="AF14" s="22"/>
      <c r="AG14" s="22"/>
      <c r="AH14" s="20">
        <f>353.25+70.30374+93.94515+425.6608+242.10355</f>
        <v>1185.26324</v>
      </c>
      <c r="AI14" s="4">
        <v>667.76435</v>
      </c>
      <c r="AJ14" s="22">
        <v>517.49889</v>
      </c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>
        <v>108</v>
      </c>
      <c r="AX14" s="22">
        <v>1156.48</v>
      </c>
      <c r="AY14" s="22">
        <v>2546.34686</v>
      </c>
      <c r="AZ14" s="4">
        <v>1844.45151</v>
      </c>
      <c r="BA14" s="4"/>
      <c r="BB14" s="4"/>
      <c r="BC14" s="22"/>
      <c r="BD14" s="22"/>
      <c r="BE14" s="22">
        <v>1525.32111</v>
      </c>
      <c r="BF14" s="22">
        <f>2850.41694-132.5499</f>
        <v>2717.86704</v>
      </c>
      <c r="BG14" s="4">
        <f>1779.81763-83.2333</f>
        <v>1696.58433</v>
      </c>
      <c r="BH14" s="4"/>
      <c r="BI14" s="22"/>
      <c r="BJ14" s="22">
        <v>453.66494</v>
      </c>
      <c r="BK14" s="22"/>
      <c r="BL14" s="22"/>
      <c r="BM14" s="22"/>
      <c r="BN14" s="22"/>
      <c r="BO14" s="4"/>
      <c r="BP14" s="4"/>
      <c r="BQ14" s="4"/>
      <c r="BR14" s="4"/>
      <c r="BS14" s="4"/>
      <c r="BT14" s="22"/>
      <c r="BU14" s="24"/>
    </row>
    <row r="15" spans="1:73" ht="73.5" customHeight="1" outlineLevel="2">
      <c r="A15" s="25" t="s">
        <v>272</v>
      </c>
      <c r="B15" s="25" t="s">
        <v>307</v>
      </c>
      <c r="C15" s="2">
        <f t="shared" si="2"/>
        <v>8006.43171</v>
      </c>
      <c r="D15" s="1">
        <f t="shared" si="0"/>
        <v>2339.38306</v>
      </c>
      <c r="E15" s="1">
        <f t="shared" si="1"/>
        <v>5667.04865</v>
      </c>
      <c r="F15" s="22"/>
      <c r="G15" s="22"/>
      <c r="H15" s="22"/>
      <c r="I15" s="22"/>
      <c r="J15" s="22"/>
      <c r="K15" s="22"/>
      <c r="L15" s="22"/>
      <c r="M15" s="22"/>
      <c r="N15" s="4"/>
      <c r="O15" s="4"/>
      <c r="P15" s="4"/>
      <c r="Q15" s="4"/>
      <c r="R15" s="4"/>
      <c r="S15" s="22"/>
      <c r="T15" s="22"/>
      <c r="U15" s="22"/>
      <c r="V15" s="22"/>
      <c r="W15" s="22"/>
      <c r="X15" s="22"/>
      <c r="Y15" s="22"/>
      <c r="Z15" s="22"/>
      <c r="AA15" s="4">
        <v>28.998</v>
      </c>
      <c r="AB15" s="23">
        <v>847.60235</v>
      </c>
      <c r="AC15" s="4">
        <v>292.5296</v>
      </c>
      <c r="AD15" s="22"/>
      <c r="AE15" s="22"/>
      <c r="AF15" s="22"/>
      <c r="AG15" s="22"/>
      <c r="AH15" s="20">
        <f>142.12215+184.77525</f>
        <v>326.8974</v>
      </c>
      <c r="AI15" s="4">
        <v>184.77525</v>
      </c>
      <c r="AJ15" s="22">
        <v>142.12215</v>
      </c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>
        <v>461.83174</v>
      </c>
      <c r="AZ15" s="4">
        <v>523.18763</v>
      </c>
      <c r="BA15" s="4"/>
      <c r="BB15" s="4"/>
      <c r="BC15" s="22"/>
      <c r="BD15" s="22"/>
      <c r="BE15" s="22">
        <v>3852.15804</v>
      </c>
      <c r="BF15" s="22">
        <v>1029.94897</v>
      </c>
      <c r="BG15" s="4">
        <v>643.27798</v>
      </c>
      <c r="BH15" s="4"/>
      <c r="BI15" s="22"/>
      <c r="BJ15" s="22"/>
      <c r="BK15" s="22"/>
      <c r="BL15" s="22"/>
      <c r="BM15" s="22"/>
      <c r="BN15" s="22"/>
      <c r="BO15" s="4"/>
      <c r="BP15" s="4"/>
      <c r="BQ15" s="4"/>
      <c r="BR15" s="4"/>
      <c r="BS15" s="4"/>
      <c r="BT15" s="22"/>
      <c r="BU15" s="24"/>
    </row>
    <row r="16" spans="1:73" ht="73.5" customHeight="1" outlineLevel="2">
      <c r="A16" s="25" t="s">
        <v>272</v>
      </c>
      <c r="B16" s="25" t="s">
        <v>114</v>
      </c>
      <c r="C16" s="2">
        <f t="shared" si="2"/>
        <v>549.2204399999999</v>
      </c>
      <c r="D16" s="1">
        <f t="shared" si="0"/>
        <v>187.56832</v>
      </c>
      <c r="E16" s="1">
        <f t="shared" si="1"/>
        <v>361.65211999999997</v>
      </c>
      <c r="F16" s="22"/>
      <c r="G16" s="22"/>
      <c r="H16" s="22"/>
      <c r="I16" s="22"/>
      <c r="J16" s="22"/>
      <c r="K16" s="22"/>
      <c r="L16" s="22">
        <f>18.6621+1.22034</f>
        <v>19.88244</v>
      </c>
      <c r="M16" s="22"/>
      <c r="N16" s="4"/>
      <c r="O16" s="4"/>
      <c r="P16" s="4"/>
      <c r="Q16" s="4"/>
      <c r="R16" s="4">
        <v>7.33392</v>
      </c>
      <c r="S16" s="22">
        <v>6.67262</v>
      </c>
      <c r="T16" s="22"/>
      <c r="U16" s="22"/>
      <c r="V16" s="22"/>
      <c r="W16" s="22"/>
      <c r="X16" s="22"/>
      <c r="Y16" s="22"/>
      <c r="Z16" s="22"/>
      <c r="AA16" s="4"/>
      <c r="AB16" s="23">
        <v>76.03813</v>
      </c>
      <c r="AC16" s="4">
        <v>32.63278</v>
      </c>
      <c r="AD16" s="22"/>
      <c r="AE16" s="22"/>
      <c r="AF16" s="22"/>
      <c r="AG16" s="22"/>
      <c r="AH16" s="20">
        <v>13.51995</v>
      </c>
      <c r="AI16" s="4"/>
      <c r="AJ16" s="20">
        <v>13.51995</v>
      </c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4"/>
      <c r="BA16" s="4"/>
      <c r="BB16" s="4"/>
      <c r="BC16" s="22"/>
      <c r="BD16" s="22"/>
      <c r="BE16" s="22"/>
      <c r="BF16" s="22">
        <v>104.19627</v>
      </c>
      <c r="BG16" s="4">
        <v>65.03022</v>
      </c>
      <c r="BH16" s="4"/>
      <c r="BI16" s="22"/>
      <c r="BJ16" s="22">
        <v>223.91411</v>
      </c>
      <c r="BK16" s="22"/>
      <c r="BL16" s="22"/>
      <c r="BM16" s="22"/>
      <c r="BN16" s="22"/>
      <c r="BO16" s="4"/>
      <c r="BP16" s="4"/>
      <c r="BQ16" s="4"/>
      <c r="BR16" s="4"/>
      <c r="BS16" s="4"/>
      <c r="BT16" s="22"/>
      <c r="BU16" s="24"/>
    </row>
    <row r="17" spans="1:73" ht="73.5" customHeight="1" outlineLevel="2">
      <c r="A17" s="25" t="s">
        <v>272</v>
      </c>
      <c r="B17" s="25" t="s">
        <v>211</v>
      </c>
      <c r="C17" s="2">
        <f t="shared" si="2"/>
        <v>1315.9385</v>
      </c>
      <c r="D17" s="1">
        <f t="shared" si="0"/>
        <v>481.90617999999995</v>
      </c>
      <c r="E17" s="1">
        <f t="shared" si="1"/>
        <v>834.03232</v>
      </c>
      <c r="F17" s="22"/>
      <c r="G17" s="22"/>
      <c r="H17" s="22"/>
      <c r="I17" s="22"/>
      <c r="J17" s="22"/>
      <c r="K17" s="22"/>
      <c r="L17" s="22">
        <v>108.67288</v>
      </c>
      <c r="M17" s="22"/>
      <c r="N17" s="4"/>
      <c r="O17" s="4"/>
      <c r="P17" s="4"/>
      <c r="Q17" s="4"/>
      <c r="R17" s="4"/>
      <c r="S17" s="22"/>
      <c r="T17" s="22"/>
      <c r="U17" s="22"/>
      <c r="V17" s="22"/>
      <c r="W17" s="22"/>
      <c r="X17" s="22"/>
      <c r="Y17" s="22"/>
      <c r="Z17" s="22">
        <v>3.47516</v>
      </c>
      <c r="AA17" s="4">
        <v>4.779</v>
      </c>
      <c r="AB17" s="23">
        <v>231.91382</v>
      </c>
      <c r="AC17" s="4">
        <v>99.06381</v>
      </c>
      <c r="AD17" s="22"/>
      <c r="AE17" s="22"/>
      <c r="AF17" s="22"/>
      <c r="AG17" s="22"/>
      <c r="AH17" s="20">
        <v>45.0665</v>
      </c>
      <c r="AI17" s="4"/>
      <c r="AJ17" s="20">
        <v>45.0665</v>
      </c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4"/>
      <c r="BA17" s="4"/>
      <c r="BB17" s="4"/>
      <c r="BC17" s="22"/>
      <c r="BD17" s="22"/>
      <c r="BE17" s="22">
        <v>163.19242</v>
      </c>
      <c r="BF17" s="22">
        <v>246.5172</v>
      </c>
      <c r="BG17" s="4">
        <v>154.07475</v>
      </c>
      <c r="BH17" s="4"/>
      <c r="BI17" s="22"/>
      <c r="BJ17" s="22">
        <v>259.18296</v>
      </c>
      <c r="BK17" s="22"/>
      <c r="BL17" s="22"/>
      <c r="BM17" s="22"/>
      <c r="BN17" s="22"/>
      <c r="BO17" s="4"/>
      <c r="BP17" s="4"/>
      <c r="BQ17" s="4"/>
      <c r="BR17" s="4"/>
      <c r="BS17" s="4"/>
      <c r="BT17" s="22"/>
      <c r="BU17" s="24"/>
    </row>
    <row r="18" spans="1:73" ht="73.5" customHeight="1" outlineLevel="2">
      <c r="A18" s="25" t="s">
        <v>272</v>
      </c>
      <c r="B18" s="25" t="s">
        <v>7</v>
      </c>
      <c r="C18" s="2">
        <f t="shared" si="2"/>
        <v>811.34324</v>
      </c>
      <c r="D18" s="1">
        <f t="shared" si="0"/>
        <v>538.1865700000001</v>
      </c>
      <c r="E18" s="1">
        <f t="shared" si="1"/>
        <v>273.15666999999996</v>
      </c>
      <c r="F18" s="22"/>
      <c r="G18" s="22"/>
      <c r="H18" s="22"/>
      <c r="I18" s="22"/>
      <c r="J18" s="22"/>
      <c r="K18" s="22"/>
      <c r="L18" s="22"/>
      <c r="M18" s="22"/>
      <c r="N18" s="4"/>
      <c r="O18" s="4"/>
      <c r="P18" s="4"/>
      <c r="Q18" s="4"/>
      <c r="R18" s="4"/>
      <c r="S18" s="22"/>
      <c r="T18" s="22"/>
      <c r="U18" s="22"/>
      <c r="V18" s="22"/>
      <c r="W18" s="22"/>
      <c r="X18" s="22"/>
      <c r="Y18" s="22"/>
      <c r="Z18" s="22"/>
      <c r="AA18" s="4"/>
      <c r="AB18" s="23">
        <v>267.54942</v>
      </c>
      <c r="AC18" s="4">
        <v>103.72564</v>
      </c>
      <c r="AD18" s="22"/>
      <c r="AE18" s="22"/>
      <c r="AF18" s="22"/>
      <c r="AG18" s="22"/>
      <c r="AH18" s="20"/>
      <c r="AI18" s="4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4"/>
      <c r="BA18" s="4"/>
      <c r="BB18" s="4"/>
      <c r="BC18" s="22"/>
      <c r="BD18" s="22"/>
      <c r="BE18" s="22"/>
      <c r="BF18" s="22">
        <v>270.63715</v>
      </c>
      <c r="BG18" s="4">
        <v>169.43103</v>
      </c>
      <c r="BH18" s="4"/>
      <c r="BI18" s="22"/>
      <c r="BJ18" s="22"/>
      <c r="BK18" s="22"/>
      <c r="BL18" s="22"/>
      <c r="BM18" s="22"/>
      <c r="BN18" s="22"/>
      <c r="BO18" s="4"/>
      <c r="BP18" s="4"/>
      <c r="BQ18" s="4"/>
      <c r="BR18" s="4"/>
      <c r="BS18" s="4"/>
      <c r="BT18" s="22"/>
      <c r="BU18" s="24"/>
    </row>
    <row r="19" spans="1:73" ht="73.5" customHeight="1" outlineLevel="2">
      <c r="A19" s="25" t="s">
        <v>272</v>
      </c>
      <c r="B19" s="25" t="s">
        <v>0</v>
      </c>
      <c r="C19" s="2">
        <f t="shared" si="2"/>
        <v>398.57744</v>
      </c>
      <c r="D19" s="1">
        <f t="shared" si="0"/>
        <v>197.98508</v>
      </c>
      <c r="E19" s="1">
        <f t="shared" si="1"/>
        <v>200.59235999999999</v>
      </c>
      <c r="F19" s="22"/>
      <c r="G19" s="22"/>
      <c r="H19" s="22"/>
      <c r="I19" s="22"/>
      <c r="J19" s="22"/>
      <c r="K19" s="22"/>
      <c r="L19" s="22"/>
      <c r="M19" s="22"/>
      <c r="N19" s="4"/>
      <c r="O19" s="4"/>
      <c r="P19" s="4"/>
      <c r="Q19" s="4"/>
      <c r="R19" s="4"/>
      <c r="S19" s="22"/>
      <c r="T19" s="22"/>
      <c r="U19" s="22"/>
      <c r="V19" s="22"/>
      <c r="W19" s="22"/>
      <c r="X19" s="22"/>
      <c r="Y19" s="22"/>
      <c r="Z19" s="22"/>
      <c r="AA19" s="4"/>
      <c r="AB19" s="23">
        <v>83.34968</v>
      </c>
      <c r="AC19" s="4">
        <v>33.09897</v>
      </c>
      <c r="AD19" s="22"/>
      <c r="AE19" s="22"/>
      <c r="AF19" s="22"/>
      <c r="AG19" s="22"/>
      <c r="AH19" s="20">
        <f>21.63192+33.7272</f>
        <v>55.359120000000004</v>
      </c>
      <c r="AI19" s="4">
        <v>33.7272</v>
      </c>
      <c r="AJ19" s="22">
        <v>21.63192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4"/>
      <c r="BA19" s="4"/>
      <c r="BB19" s="4"/>
      <c r="BC19" s="22"/>
      <c r="BD19" s="22">
        <v>40.4775</v>
      </c>
      <c r="BE19" s="22"/>
      <c r="BF19" s="22">
        <v>114.6354</v>
      </c>
      <c r="BG19" s="4">
        <v>71.65677</v>
      </c>
      <c r="BH19" s="4"/>
      <c r="BI19" s="22"/>
      <c r="BJ19" s="22"/>
      <c r="BK19" s="22"/>
      <c r="BL19" s="22"/>
      <c r="BM19" s="22"/>
      <c r="BN19" s="22"/>
      <c r="BO19" s="4"/>
      <c r="BP19" s="4"/>
      <c r="BQ19" s="4"/>
      <c r="BR19" s="4"/>
      <c r="BS19" s="4"/>
      <c r="BT19" s="22"/>
      <c r="BU19" s="24"/>
    </row>
    <row r="20" spans="1:73" ht="73.5" customHeight="1" outlineLevel="2">
      <c r="A20" s="25" t="s">
        <v>272</v>
      </c>
      <c r="B20" s="25" t="s">
        <v>8</v>
      </c>
      <c r="C20" s="2">
        <f t="shared" si="2"/>
        <v>7452.70765</v>
      </c>
      <c r="D20" s="1">
        <f t="shared" si="0"/>
        <v>4701.18721</v>
      </c>
      <c r="E20" s="1">
        <f t="shared" si="1"/>
        <v>2751.5204400000002</v>
      </c>
      <c r="F20" s="22"/>
      <c r="G20" s="22"/>
      <c r="H20" s="22"/>
      <c r="I20" s="22"/>
      <c r="J20" s="22"/>
      <c r="K20" s="22"/>
      <c r="L20" s="22"/>
      <c r="M20" s="22"/>
      <c r="N20" s="4"/>
      <c r="O20" s="4"/>
      <c r="P20" s="4"/>
      <c r="Q20" s="4"/>
      <c r="R20" s="4">
        <v>104.50499</v>
      </c>
      <c r="S20" s="22">
        <v>85.69272</v>
      </c>
      <c r="T20" s="22"/>
      <c r="U20" s="22"/>
      <c r="V20" s="22"/>
      <c r="W20" s="22"/>
      <c r="X20" s="22"/>
      <c r="Y20" s="22"/>
      <c r="Z20" s="22">
        <v>52.12737</v>
      </c>
      <c r="AA20" s="4">
        <v>100.5615</v>
      </c>
      <c r="AB20" s="23"/>
      <c r="AC20" s="4"/>
      <c r="AD20" s="22"/>
      <c r="AE20" s="22"/>
      <c r="AF20" s="22"/>
      <c r="AG20" s="22"/>
      <c r="AH20" s="20">
        <f>459.225+82.92236+113.21595+146.17105</f>
        <v>801.5343600000001</v>
      </c>
      <c r="AI20" s="4">
        <v>146.17105</v>
      </c>
      <c r="AJ20" s="22">
        <v>655.36331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>
        <v>2418.77862</v>
      </c>
      <c r="AZ20" s="4">
        <v>436.5504</v>
      </c>
      <c r="BA20" s="4"/>
      <c r="BB20" s="4"/>
      <c r="BC20" s="22"/>
      <c r="BD20" s="22"/>
      <c r="BE20" s="22"/>
      <c r="BF20" s="22">
        <f>1283.87894+860.56629-18.669</f>
        <v>2125.7762300000004</v>
      </c>
      <c r="BG20" s="4">
        <f>800.41672+538.48774-11.723</f>
        <v>1327.1814600000002</v>
      </c>
      <c r="BH20" s="4"/>
      <c r="BI20" s="22"/>
      <c r="BJ20" s="22"/>
      <c r="BK20" s="22"/>
      <c r="BL20" s="22"/>
      <c r="BM20" s="22"/>
      <c r="BN20" s="22"/>
      <c r="BO20" s="4"/>
      <c r="BP20" s="4"/>
      <c r="BQ20" s="4"/>
      <c r="BR20" s="4"/>
      <c r="BS20" s="4"/>
      <c r="BT20" s="22"/>
      <c r="BU20" s="24"/>
    </row>
    <row r="21" spans="1:73" ht="73.5" customHeight="1" outlineLevel="2">
      <c r="A21" s="25" t="s">
        <v>272</v>
      </c>
      <c r="B21" s="25" t="s">
        <v>832</v>
      </c>
      <c r="C21" s="2">
        <f>D21+E21</f>
        <v>93.74291</v>
      </c>
      <c r="D21" s="1">
        <f t="shared" si="0"/>
        <v>0</v>
      </c>
      <c r="E21" s="1">
        <f t="shared" si="1"/>
        <v>93.74291</v>
      </c>
      <c r="F21" s="22"/>
      <c r="G21" s="22"/>
      <c r="H21" s="22"/>
      <c r="I21" s="22"/>
      <c r="J21" s="22"/>
      <c r="K21" s="22"/>
      <c r="L21" s="22"/>
      <c r="M21" s="22"/>
      <c r="N21" s="4"/>
      <c r="O21" s="4"/>
      <c r="P21" s="4"/>
      <c r="Q21" s="4"/>
      <c r="R21" s="4"/>
      <c r="S21" s="22"/>
      <c r="T21" s="22"/>
      <c r="U21" s="22"/>
      <c r="V21" s="22"/>
      <c r="W21" s="22"/>
      <c r="X21" s="22"/>
      <c r="Y21" s="22"/>
      <c r="Z21" s="22"/>
      <c r="AA21" s="4"/>
      <c r="AB21" s="23"/>
      <c r="AC21" s="4"/>
      <c r="AD21" s="22"/>
      <c r="AE21" s="22"/>
      <c r="AF21" s="22"/>
      <c r="AG21" s="22"/>
      <c r="AH21" s="20"/>
      <c r="AI21" s="4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4"/>
      <c r="BA21" s="4"/>
      <c r="BB21" s="4"/>
      <c r="BC21" s="22"/>
      <c r="BD21" s="22"/>
      <c r="BE21" s="22">
        <v>93.74291</v>
      </c>
      <c r="BF21" s="22"/>
      <c r="BG21" s="4"/>
      <c r="BH21" s="4"/>
      <c r="BI21" s="22"/>
      <c r="BJ21" s="22"/>
      <c r="BK21" s="22"/>
      <c r="BL21" s="22"/>
      <c r="BM21" s="22"/>
      <c r="BN21" s="22"/>
      <c r="BO21" s="4"/>
      <c r="BP21" s="4"/>
      <c r="BQ21" s="4"/>
      <c r="BR21" s="4"/>
      <c r="BS21" s="4"/>
      <c r="BT21" s="22"/>
      <c r="BU21" s="24"/>
    </row>
    <row r="22" spans="1:73" ht="73.5" customHeight="1" outlineLevel="2">
      <c r="A22" s="25" t="s">
        <v>272</v>
      </c>
      <c r="B22" s="25" t="s">
        <v>368</v>
      </c>
      <c r="C22" s="2">
        <f t="shared" si="2"/>
        <v>422.23236</v>
      </c>
      <c r="D22" s="1">
        <f t="shared" si="0"/>
        <v>237.55126</v>
      </c>
      <c r="E22" s="1">
        <f t="shared" si="1"/>
        <v>184.68110000000001</v>
      </c>
      <c r="F22" s="22"/>
      <c r="G22" s="22"/>
      <c r="H22" s="22"/>
      <c r="I22" s="22"/>
      <c r="J22" s="22"/>
      <c r="K22" s="22"/>
      <c r="L22" s="22"/>
      <c r="M22" s="22"/>
      <c r="N22" s="4"/>
      <c r="O22" s="4"/>
      <c r="P22" s="4"/>
      <c r="Q22" s="4"/>
      <c r="R22" s="4"/>
      <c r="S22" s="22"/>
      <c r="T22" s="22"/>
      <c r="U22" s="22"/>
      <c r="V22" s="22"/>
      <c r="W22" s="22"/>
      <c r="X22" s="22"/>
      <c r="Y22" s="22"/>
      <c r="Z22" s="22"/>
      <c r="AA22" s="4"/>
      <c r="AB22" s="23">
        <v>131.33749</v>
      </c>
      <c r="AC22" s="4">
        <v>58.27283</v>
      </c>
      <c r="AD22" s="22"/>
      <c r="AE22" s="22"/>
      <c r="AF22" s="22"/>
      <c r="AG22" s="22"/>
      <c r="AH22" s="20">
        <f>26.13857+33.7272</f>
        <v>59.865770000000005</v>
      </c>
      <c r="AI22" s="4">
        <v>33.7272</v>
      </c>
      <c r="AJ22" s="22">
        <v>26.13857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4"/>
      <c r="BA22" s="4"/>
      <c r="BB22" s="4"/>
      <c r="BC22" s="22"/>
      <c r="BD22" s="22"/>
      <c r="BE22" s="22"/>
      <c r="BF22" s="22">
        <v>106.21377</v>
      </c>
      <c r="BG22" s="4">
        <v>66.5425</v>
      </c>
      <c r="BH22" s="4"/>
      <c r="BI22" s="22"/>
      <c r="BJ22" s="22"/>
      <c r="BK22" s="22"/>
      <c r="BL22" s="22"/>
      <c r="BM22" s="22"/>
      <c r="BN22" s="22"/>
      <c r="BO22" s="4"/>
      <c r="BP22" s="4"/>
      <c r="BQ22" s="4"/>
      <c r="BR22" s="4"/>
      <c r="BS22" s="4"/>
      <c r="BT22" s="22"/>
      <c r="BU22" s="24"/>
    </row>
    <row r="23" spans="1:73" ht="73.5" customHeight="1" outlineLevel="2">
      <c r="A23" s="25" t="s">
        <v>272</v>
      </c>
      <c r="B23" s="25" t="s">
        <v>471</v>
      </c>
      <c r="C23" s="2">
        <f t="shared" si="2"/>
        <v>285.66166999999996</v>
      </c>
      <c r="D23" s="1">
        <f t="shared" si="0"/>
        <v>155.78717999999998</v>
      </c>
      <c r="E23" s="1">
        <f t="shared" si="1"/>
        <v>129.87449</v>
      </c>
      <c r="F23" s="22"/>
      <c r="G23" s="22"/>
      <c r="H23" s="22"/>
      <c r="I23" s="22"/>
      <c r="J23" s="22"/>
      <c r="K23" s="22"/>
      <c r="L23" s="22">
        <v>5.61561</v>
      </c>
      <c r="M23" s="22"/>
      <c r="N23" s="4"/>
      <c r="O23" s="4"/>
      <c r="P23" s="4"/>
      <c r="Q23" s="4"/>
      <c r="R23" s="4"/>
      <c r="S23" s="22"/>
      <c r="T23" s="22"/>
      <c r="U23" s="22"/>
      <c r="V23" s="22"/>
      <c r="W23" s="22"/>
      <c r="X23" s="22"/>
      <c r="Y23" s="22"/>
      <c r="Z23" s="22"/>
      <c r="AA23" s="4"/>
      <c r="AB23" s="23">
        <v>69.34352</v>
      </c>
      <c r="AC23" s="4">
        <v>33.33206</v>
      </c>
      <c r="AD23" s="22"/>
      <c r="AE23" s="22"/>
      <c r="AF23" s="22"/>
      <c r="AG23" s="22"/>
      <c r="AH23" s="20">
        <f>14.42128+22.4848</f>
        <v>36.90608</v>
      </c>
      <c r="AI23" s="4">
        <v>22.4848</v>
      </c>
      <c r="AJ23" s="22">
        <v>14.42128</v>
      </c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4"/>
      <c r="BA23" s="4"/>
      <c r="BB23" s="4"/>
      <c r="BC23" s="22"/>
      <c r="BD23" s="22"/>
      <c r="BE23" s="22"/>
      <c r="BF23" s="22">
        <f>98.57851-12.13485</f>
        <v>86.44366</v>
      </c>
      <c r="BG23" s="4">
        <f>61.64069-7.61995</f>
        <v>54.020739999999996</v>
      </c>
      <c r="BH23" s="4"/>
      <c r="BI23" s="22"/>
      <c r="BJ23" s="22"/>
      <c r="BK23" s="22"/>
      <c r="BL23" s="22"/>
      <c r="BM23" s="22"/>
      <c r="BN23" s="22"/>
      <c r="BO23" s="4"/>
      <c r="BP23" s="4"/>
      <c r="BQ23" s="4"/>
      <c r="BR23" s="4"/>
      <c r="BS23" s="4"/>
      <c r="BT23" s="22"/>
      <c r="BU23" s="24"/>
    </row>
    <row r="24" spans="1:73" ht="73.5" customHeight="1" outlineLevel="2">
      <c r="A24" s="25" t="s">
        <v>272</v>
      </c>
      <c r="B24" s="25" t="s">
        <v>285</v>
      </c>
      <c r="C24" s="2">
        <f t="shared" si="2"/>
        <v>1343.11797</v>
      </c>
      <c r="D24" s="1">
        <f t="shared" si="0"/>
        <v>858.74663</v>
      </c>
      <c r="E24" s="1">
        <f t="shared" si="1"/>
        <v>484.37134000000003</v>
      </c>
      <c r="F24" s="22"/>
      <c r="G24" s="22"/>
      <c r="H24" s="22"/>
      <c r="I24" s="22"/>
      <c r="J24" s="22"/>
      <c r="K24" s="22"/>
      <c r="L24" s="22"/>
      <c r="M24" s="22"/>
      <c r="N24" s="4"/>
      <c r="O24" s="4"/>
      <c r="P24" s="4"/>
      <c r="Q24" s="4"/>
      <c r="R24" s="4"/>
      <c r="S24" s="22"/>
      <c r="T24" s="22"/>
      <c r="U24" s="22"/>
      <c r="V24" s="22"/>
      <c r="W24" s="22"/>
      <c r="X24" s="22"/>
      <c r="Y24" s="22"/>
      <c r="Z24" s="22"/>
      <c r="AA24" s="4"/>
      <c r="AB24" s="23">
        <v>428.71918</v>
      </c>
      <c r="AC24" s="4">
        <v>174.81849</v>
      </c>
      <c r="AD24" s="22"/>
      <c r="AE24" s="22"/>
      <c r="AF24" s="22"/>
      <c r="AG24" s="22"/>
      <c r="AH24" s="20"/>
      <c r="AI24" s="4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>
        <v>40.75049</v>
      </c>
      <c r="BF24" s="22">
        <v>430.02745</v>
      </c>
      <c r="BG24" s="4">
        <v>268.80236</v>
      </c>
      <c r="BH24" s="4"/>
      <c r="BI24" s="22"/>
      <c r="BJ24" s="22"/>
      <c r="BK24" s="22"/>
      <c r="BL24" s="22"/>
      <c r="BM24" s="22"/>
      <c r="BN24" s="22"/>
      <c r="BO24" s="4"/>
      <c r="BP24" s="4"/>
      <c r="BQ24" s="4"/>
      <c r="BR24" s="4"/>
      <c r="BS24" s="4"/>
      <c r="BT24" s="22"/>
      <c r="BU24" s="24"/>
    </row>
    <row r="25" spans="1:73" s="21" customFormat="1" ht="73.5" customHeight="1" outlineLevel="2">
      <c r="A25" s="25" t="s">
        <v>272</v>
      </c>
      <c r="B25" s="26" t="s">
        <v>261</v>
      </c>
      <c r="C25" s="2">
        <f t="shared" si="2"/>
        <v>338.15493000000004</v>
      </c>
      <c r="D25" s="1">
        <f t="shared" si="0"/>
        <v>129.25481000000002</v>
      </c>
      <c r="E25" s="1">
        <f t="shared" si="1"/>
        <v>208.90012000000002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23">
        <v>65.89632</v>
      </c>
      <c r="AC25" s="4">
        <v>26.8055</v>
      </c>
      <c r="AD25" s="4"/>
      <c r="AE25" s="4"/>
      <c r="AF25" s="4"/>
      <c r="AG25" s="4"/>
      <c r="AH25" s="20">
        <f>10.81596+7.87365</f>
        <v>18.689610000000002</v>
      </c>
      <c r="AI25" s="4">
        <v>7.87365</v>
      </c>
      <c r="AJ25" s="4">
        <v>10.81596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>
        <v>123.78001</v>
      </c>
      <c r="BF25" s="4">
        <f>68.95919-5.6007</f>
        <v>63.35849</v>
      </c>
      <c r="BG25" s="4">
        <f>43.1419-3.5169</f>
        <v>39.625</v>
      </c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16"/>
    </row>
    <row r="26" spans="1:73" s="21" customFormat="1" ht="73.5" customHeight="1" outlineLevel="2">
      <c r="A26" s="25" t="s">
        <v>272</v>
      </c>
      <c r="B26" s="26" t="s">
        <v>516</v>
      </c>
      <c r="C26" s="2">
        <f t="shared" si="2"/>
        <v>183.0177</v>
      </c>
      <c r="D26" s="1">
        <f t="shared" si="0"/>
        <v>117.99494</v>
      </c>
      <c r="E26" s="1">
        <f t="shared" si="1"/>
        <v>65.02276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23">
        <v>60.88896</v>
      </c>
      <c r="AC26" s="4">
        <v>29.13641</v>
      </c>
      <c r="AD26" s="4"/>
      <c r="AE26" s="4"/>
      <c r="AF26" s="4"/>
      <c r="AG26" s="4"/>
      <c r="AH26" s="20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>
        <v>57.10598</v>
      </c>
      <c r="BG26" s="4">
        <v>35.88635</v>
      </c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16"/>
    </row>
    <row r="27" spans="1:73" s="21" customFormat="1" ht="73.5" customHeight="1" outlineLevel="2">
      <c r="A27" s="25" t="s">
        <v>272</v>
      </c>
      <c r="B27" s="26" t="s">
        <v>126</v>
      </c>
      <c r="C27" s="2">
        <f t="shared" si="2"/>
        <v>353.03624</v>
      </c>
      <c r="D27" s="1">
        <f t="shared" si="0"/>
        <v>214.88873</v>
      </c>
      <c r="E27" s="1">
        <f t="shared" si="1"/>
        <v>138.14751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26.16826</v>
      </c>
      <c r="S27" s="4">
        <v>5.87911</v>
      </c>
      <c r="T27" s="4"/>
      <c r="U27" s="4"/>
      <c r="V27" s="4"/>
      <c r="W27" s="4"/>
      <c r="X27" s="4"/>
      <c r="Y27" s="4"/>
      <c r="Z27" s="4">
        <v>17.37579</v>
      </c>
      <c r="AA27" s="4">
        <v>36.1665</v>
      </c>
      <c r="AB27" s="23">
        <v>64.08894</v>
      </c>
      <c r="AC27" s="4">
        <v>23.77531</v>
      </c>
      <c r="AD27" s="4"/>
      <c r="AE27" s="4"/>
      <c r="AF27" s="4"/>
      <c r="AG27" s="4"/>
      <c r="AH27" s="20">
        <f>2.70399+2.62455</f>
        <v>5.32854</v>
      </c>
      <c r="AI27" s="4">
        <v>2.62455</v>
      </c>
      <c r="AJ27" s="4">
        <v>2.70399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>
        <v>107.25574</v>
      </c>
      <c r="BG27" s="4">
        <v>66.99805</v>
      </c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16"/>
    </row>
    <row r="28" spans="1:73" s="21" customFormat="1" ht="73.5" customHeight="1" outlineLevel="2">
      <c r="A28" s="25" t="s">
        <v>272</v>
      </c>
      <c r="B28" s="26" t="s">
        <v>620</v>
      </c>
      <c r="C28" s="2">
        <f t="shared" si="2"/>
        <v>364.49339999999995</v>
      </c>
      <c r="D28" s="1">
        <f t="shared" si="0"/>
        <v>268.39851</v>
      </c>
      <c r="E28" s="1">
        <f t="shared" si="1"/>
        <v>96.09488999999999</v>
      </c>
      <c r="F28" s="4"/>
      <c r="G28" s="4"/>
      <c r="H28" s="4"/>
      <c r="I28" s="4"/>
      <c r="J28" s="4"/>
      <c r="K28" s="4"/>
      <c r="L28" s="4"/>
      <c r="M28" s="4"/>
      <c r="N28" s="4">
        <f>88.65955</f>
        <v>88.65955</v>
      </c>
      <c r="O28" s="4">
        <v>3.87531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23">
        <v>88.08197</v>
      </c>
      <c r="AC28" s="4">
        <v>34.9637</v>
      </c>
      <c r="AD28" s="4"/>
      <c r="AE28" s="4"/>
      <c r="AF28" s="4"/>
      <c r="AG28" s="4"/>
      <c r="AH28" s="20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>
        <v>91.65699</v>
      </c>
      <c r="BG28" s="4">
        <v>57.25588</v>
      </c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16"/>
    </row>
    <row r="29" spans="1:73" s="21" customFormat="1" ht="73.5" customHeight="1" outlineLevel="2">
      <c r="A29" s="25" t="s">
        <v>272</v>
      </c>
      <c r="B29" s="27" t="s">
        <v>598</v>
      </c>
      <c r="C29" s="2">
        <f t="shared" si="2"/>
        <v>638.53745</v>
      </c>
      <c r="D29" s="1">
        <f t="shared" si="0"/>
        <v>440.60464</v>
      </c>
      <c r="E29" s="1">
        <f t="shared" si="1"/>
        <v>197.93281000000002</v>
      </c>
      <c r="F29" s="4"/>
      <c r="G29" s="4"/>
      <c r="H29" s="4"/>
      <c r="I29" s="4"/>
      <c r="J29" s="4">
        <v>209.74978</v>
      </c>
      <c r="K29" s="4">
        <v>67.7976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23">
        <v>101.71866</v>
      </c>
      <c r="AC29" s="4">
        <v>49.41536</v>
      </c>
      <c r="AD29" s="4"/>
      <c r="AE29" s="4"/>
      <c r="AF29" s="4"/>
      <c r="AG29" s="4"/>
      <c r="AH29" s="20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>
        <v>129.1362</v>
      </c>
      <c r="BG29" s="4">
        <v>80.71985</v>
      </c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16"/>
    </row>
    <row r="30" spans="1:73" s="21" customFormat="1" ht="73.5" customHeight="1" outlineLevel="2">
      <c r="A30" s="25" t="s">
        <v>272</v>
      </c>
      <c r="B30" s="25" t="s">
        <v>599</v>
      </c>
      <c r="C30" s="2">
        <f t="shared" si="2"/>
        <v>709.35674</v>
      </c>
      <c r="D30" s="1">
        <f t="shared" si="0"/>
        <v>145.32868</v>
      </c>
      <c r="E30" s="1">
        <f t="shared" si="1"/>
        <v>564.02806</v>
      </c>
      <c r="F30" s="4"/>
      <c r="G30" s="4"/>
      <c r="H30" s="4"/>
      <c r="I30" s="4"/>
      <c r="J30" s="4"/>
      <c r="K30" s="4"/>
      <c r="L30" s="4">
        <v>374.29925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23">
        <v>49.70037</v>
      </c>
      <c r="AC30" s="4">
        <v>20.97822</v>
      </c>
      <c r="AD30" s="4"/>
      <c r="AE30" s="4"/>
      <c r="AF30" s="4"/>
      <c r="AG30" s="4"/>
      <c r="AH30" s="20">
        <v>14.42128</v>
      </c>
      <c r="AI30" s="4"/>
      <c r="AJ30" s="20">
        <v>14.42128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>
        <v>94.66695</v>
      </c>
      <c r="BE30" s="4"/>
      <c r="BF30" s="4">
        <f>97.49521-1.8669</f>
        <v>95.62831</v>
      </c>
      <c r="BG30" s="4">
        <f>60.83466-1.1723</f>
        <v>59.66236</v>
      </c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16"/>
    </row>
    <row r="31" spans="1:73" s="21" customFormat="1" ht="73.5" customHeight="1" outlineLevel="2">
      <c r="A31" s="25" t="s">
        <v>272</v>
      </c>
      <c r="B31" s="25" t="s">
        <v>600</v>
      </c>
      <c r="C31" s="2">
        <f t="shared" si="2"/>
        <v>1027.56187</v>
      </c>
      <c r="D31" s="1">
        <f t="shared" si="0"/>
        <v>516.10378</v>
      </c>
      <c r="E31" s="1">
        <f t="shared" si="1"/>
        <v>511.45808999999997</v>
      </c>
      <c r="F31" s="4"/>
      <c r="G31" s="22"/>
      <c r="H31" s="22"/>
      <c r="I31" s="2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3">
        <v>114.22745</v>
      </c>
      <c r="AC31" s="4">
        <v>69.9274</v>
      </c>
      <c r="AD31" s="4"/>
      <c r="AE31" s="4"/>
      <c r="AF31" s="4"/>
      <c r="AG31" s="4"/>
      <c r="AH31" s="20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>
        <v>166.4</v>
      </c>
      <c r="AY31" s="4"/>
      <c r="AZ31" s="4"/>
      <c r="BA31" s="4"/>
      <c r="BB31" s="4"/>
      <c r="BC31" s="4"/>
      <c r="BD31" s="4">
        <v>24.02295</v>
      </c>
      <c r="BE31" s="4"/>
      <c r="BF31" s="4">
        <v>401.87633</v>
      </c>
      <c r="BG31" s="4">
        <v>251.10774</v>
      </c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16"/>
    </row>
    <row r="32" spans="1:73" s="21" customFormat="1" ht="73.5" customHeight="1" outlineLevel="2">
      <c r="A32" s="25" t="s">
        <v>272</v>
      </c>
      <c r="B32" s="25" t="s">
        <v>601</v>
      </c>
      <c r="C32" s="2">
        <f t="shared" si="2"/>
        <v>188.73800999999997</v>
      </c>
      <c r="D32" s="1">
        <f t="shared" si="0"/>
        <v>120.31029</v>
      </c>
      <c r="E32" s="1">
        <f t="shared" si="1"/>
        <v>68.42772</v>
      </c>
      <c r="F32" s="22"/>
      <c r="G32" s="22"/>
      <c r="H32" s="22"/>
      <c r="I32" s="22"/>
      <c r="J32" s="22"/>
      <c r="K32" s="22"/>
      <c r="L32" s="22"/>
      <c r="M32" s="22"/>
      <c r="N32" s="4"/>
      <c r="O32" s="4"/>
      <c r="P32" s="4"/>
      <c r="Q32" s="4"/>
      <c r="R32" s="4"/>
      <c r="S32" s="22"/>
      <c r="T32" s="22"/>
      <c r="U32" s="22"/>
      <c r="V32" s="22"/>
      <c r="W32" s="22"/>
      <c r="X32" s="22"/>
      <c r="Y32" s="22"/>
      <c r="Z32" s="4"/>
      <c r="AA32" s="4"/>
      <c r="AB32" s="23">
        <v>52.64703</v>
      </c>
      <c r="AC32" s="4">
        <v>26.10623</v>
      </c>
      <c r="AD32" s="22"/>
      <c r="AE32" s="22"/>
      <c r="AF32" s="22"/>
      <c r="AG32" s="22"/>
      <c r="AH32" s="20"/>
      <c r="AI32" s="4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4"/>
      <c r="BA32" s="4"/>
      <c r="BB32" s="4"/>
      <c r="BC32" s="22"/>
      <c r="BD32" s="22"/>
      <c r="BE32" s="22"/>
      <c r="BF32" s="22">
        <v>67.66326</v>
      </c>
      <c r="BG32" s="4">
        <v>42.32149</v>
      </c>
      <c r="BH32" s="4"/>
      <c r="BI32" s="22"/>
      <c r="BJ32" s="22"/>
      <c r="BK32" s="22"/>
      <c r="BL32" s="22"/>
      <c r="BM32" s="22"/>
      <c r="BN32" s="22"/>
      <c r="BO32" s="4"/>
      <c r="BP32" s="4"/>
      <c r="BQ32" s="4"/>
      <c r="BR32" s="4"/>
      <c r="BS32" s="4"/>
      <c r="BT32" s="4"/>
      <c r="BU32" s="24"/>
    </row>
    <row r="33" spans="1:73" s="21" customFormat="1" ht="73.5" customHeight="1" outlineLevel="2">
      <c r="A33" s="25" t="s">
        <v>272</v>
      </c>
      <c r="B33" s="25" t="s">
        <v>602</v>
      </c>
      <c r="C33" s="2">
        <f t="shared" si="2"/>
        <v>92.72957000000001</v>
      </c>
      <c r="D33" s="1">
        <f t="shared" si="0"/>
        <v>77.57863</v>
      </c>
      <c r="E33" s="1">
        <f t="shared" si="1"/>
        <v>15.15094</v>
      </c>
      <c r="F33" s="22"/>
      <c r="G33" s="22"/>
      <c r="H33" s="22"/>
      <c r="I33" s="22"/>
      <c r="J33" s="22"/>
      <c r="K33" s="22"/>
      <c r="L33" s="22"/>
      <c r="M33" s="22"/>
      <c r="N33" s="4"/>
      <c r="O33" s="4"/>
      <c r="P33" s="4"/>
      <c r="Q33" s="4"/>
      <c r="R33" s="4"/>
      <c r="S33" s="22"/>
      <c r="T33" s="22"/>
      <c r="U33" s="22"/>
      <c r="V33" s="22"/>
      <c r="W33" s="22"/>
      <c r="X33" s="22"/>
      <c r="Y33" s="22"/>
      <c r="Z33" s="4"/>
      <c r="AA33" s="4"/>
      <c r="AB33" s="23">
        <v>77.57863</v>
      </c>
      <c r="AC33" s="4">
        <v>15.15094</v>
      </c>
      <c r="AD33" s="22"/>
      <c r="AE33" s="22"/>
      <c r="AF33" s="22"/>
      <c r="AG33" s="22"/>
      <c r="AH33" s="20"/>
      <c r="AI33" s="4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4"/>
      <c r="BA33" s="4"/>
      <c r="BB33" s="4"/>
      <c r="BC33" s="22"/>
      <c r="BD33" s="22"/>
      <c r="BE33" s="22"/>
      <c r="BF33" s="22"/>
      <c r="BG33" s="4"/>
      <c r="BH33" s="4"/>
      <c r="BI33" s="22"/>
      <c r="BJ33" s="22"/>
      <c r="BK33" s="22"/>
      <c r="BL33" s="22"/>
      <c r="BM33" s="22"/>
      <c r="BN33" s="22"/>
      <c r="BO33" s="4"/>
      <c r="BP33" s="4"/>
      <c r="BQ33" s="4"/>
      <c r="BR33" s="4"/>
      <c r="BS33" s="4"/>
      <c r="BT33" s="4"/>
      <c r="BU33" s="24"/>
    </row>
    <row r="34" spans="1:73" s="21" customFormat="1" ht="73.5" customHeight="1" outlineLevel="2">
      <c r="A34" s="25" t="s">
        <v>272</v>
      </c>
      <c r="B34" s="25" t="s">
        <v>603</v>
      </c>
      <c r="C34" s="2">
        <f t="shared" si="2"/>
        <v>1623.59689</v>
      </c>
      <c r="D34" s="1">
        <f t="shared" si="0"/>
        <v>618.08808</v>
      </c>
      <c r="E34" s="1">
        <f t="shared" si="1"/>
        <v>1005.50881</v>
      </c>
      <c r="F34" s="4"/>
      <c r="G34" s="4"/>
      <c r="H34" s="4"/>
      <c r="I34" s="4"/>
      <c r="J34" s="4">
        <v>84.37113</v>
      </c>
      <c r="K34" s="4">
        <v>25.17222</v>
      </c>
      <c r="L34" s="4">
        <v>163.72008</v>
      </c>
      <c r="M34" s="4"/>
      <c r="N34" s="4"/>
      <c r="O34" s="4"/>
      <c r="P34" s="4"/>
      <c r="Q34" s="4"/>
      <c r="R34" s="4">
        <v>18.44269</v>
      </c>
      <c r="S34" s="4">
        <v>17.65824</v>
      </c>
      <c r="T34" s="4"/>
      <c r="U34" s="4"/>
      <c r="V34" s="4"/>
      <c r="W34" s="4"/>
      <c r="X34" s="4"/>
      <c r="Y34" s="4"/>
      <c r="Z34" s="4"/>
      <c r="AA34" s="4"/>
      <c r="AB34" s="23">
        <v>353.15598</v>
      </c>
      <c r="AC34" s="4">
        <v>116.54566</v>
      </c>
      <c r="AD34" s="4"/>
      <c r="AE34" s="4"/>
      <c r="AF34" s="4"/>
      <c r="AG34" s="4"/>
      <c r="AH34" s="20">
        <v>13.51995</v>
      </c>
      <c r="AI34" s="4"/>
      <c r="AJ34" s="20">
        <v>13.51995</v>
      </c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22">
        <v>162.11828</v>
      </c>
      <c r="BG34" s="22">
        <f>101.40238-11.723</f>
        <v>89.67938</v>
      </c>
      <c r="BH34" s="22"/>
      <c r="BI34" s="4"/>
      <c r="BJ34" s="4">
        <v>579.21328</v>
      </c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16"/>
    </row>
    <row r="35" spans="1:73" s="21" customFormat="1" ht="73.5" customHeight="1" outlineLevel="2">
      <c r="A35" s="25" t="s">
        <v>272</v>
      </c>
      <c r="B35" s="25" t="s">
        <v>127</v>
      </c>
      <c r="C35" s="2">
        <f t="shared" si="2"/>
        <v>466.47605000000004</v>
      </c>
      <c r="D35" s="1">
        <f t="shared" si="0"/>
        <v>277.60741</v>
      </c>
      <c r="E35" s="1">
        <f t="shared" si="1"/>
        <v>188.86864000000003</v>
      </c>
      <c r="F35" s="4"/>
      <c r="G35" s="4"/>
      <c r="H35" s="4"/>
      <c r="I35" s="4"/>
      <c r="J35" s="4">
        <v>131.79516</v>
      </c>
      <c r="K35" s="4">
        <v>64.68789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v>94.6799</v>
      </c>
      <c r="AC35" s="4">
        <v>26.57241</v>
      </c>
      <c r="AD35" s="4"/>
      <c r="AE35" s="4"/>
      <c r="AF35" s="4"/>
      <c r="AG35" s="4"/>
      <c r="AH35" s="20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>
        <v>65.7</v>
      </c>
      <c r="BF35" s="4">
        <v>51.13235</v>
      </c>
      <c r="BG35" s="4">
        <v>31.90834</v>
      </c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16"/>
    </row>
    <row r="36" spans="1:73" ht="73.5" customHeight="1" outlineLevel="2">
      <c r="A36" s="25" t="s">
        <v>272</v>
      </c>
      <c r="B36" s="25" t="s">
        <v>604</v>
      </c>
      <c r="C36" s="2">
        <f t="shared" si="2"/>
        <v>461.09477000000004</v>
      </c>
      <c r="D36" s="1">
        <f t="shared" si="0"/>
        <v>250.00393</v>
      </c>
      <c r="E36" s="1">
        <f t="shared" si="1"/>
        <v>211.09084000000001</v>
      </c>
      <c r="F36" s="22"/>
      <c r="G36" s="22"/>
      <c r="H36" s="22"/>
      <c r="I36" s="22"/>
      <c r="J36" s="22"/>
      <c r="K36" s="22"/>
      <c r="L36" s="22"/>
      <c r="M36" s="22"/>
      <c r="N36" s="4"/>
      <c r="O36" s="4"/>
      <c r="P36" s="4"/>
      <c r="Q36" s="4"/>
      <c r="R36" s="4"/>
      <c r="S36" s="22"/>
      <c r="T36" s="22"/>
      <c r="U36" s="22"/>
      <c r="V36" s="22"/>
      <c r="W36" s="22"/>
      <c r="X36" s="22"/>
      <c r="Y36" s="22"/>
      <c r="Z36" s="4"/>
      <c r="AA36" s="4"/>
      <c r="AB36" s="23">
        <v>76.41565</v>
      </c>
      <c r="AC36" s="4">
        <v>58.27283</v>
      </c>
      <c r="AD36" s="22"/>
      <c r="AE36" s="22"/>
      <c r="AF36" s="22"/>
      <c r="AG36" s="22"/>
      <c r="AH36" s="20">
        <f>26.13857+18.37185</f>
        <v>44.510419999999996</v>
      </c>
      <c r="AI36" s="4">
        <v>18.37185</v>
      </c>
      <c r="AJ36" s="22">
        <v>26.13857</v>
      </c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4"/>
      <c r="BA36" s="4"/>
      <c r="BB36" s="4"/>
      <c r="BC36" s="22"/>
      <c r="BD36" s="22"/>
      <c r="BE36" s="22"/>
      <c r="BF36" s="22">
        <f>33.25662+140.33166</f>
        <v>173.58828</v>
      </c>
      <c r="BG36" s="4">
        <f>20.75788+87.54971</f>
        <v>108.30759</v>
      </c>
      <c r="BH36" s="4"/>
      <c r="BI36" s="22"/>
      <c r="BJ36" s="22"/>
      <c r="BK36" s="22"/>
      <c r="BL36" s="22"/>
      <c r="BM36" s="22"/>
      <c r="BN36" s="22"/>
      <c r="BO36" s="4"/>
      <c r="BP36" s="4"/>
      <c r="BQ36" s="4"/>
      <c r="BR36" s="4"/>
      <c r="BS36" s="4"/>
      <c r="BT36" s="22"/>
      <c r="BU36" s="24"/>
    </row>
    <row r="37" spans="1:73" ht="73.5" customHeight="1" outlineLevel="2">
      <c r="A37" s="19" t="s">
        <v>272</v>
      </c>
      <c r="B37" s="19" t="s">
        <v>866</v>
      </c>
      <c r="C37" s="2">
        <f t="shared" si="2"/>
        <v>34.45975</v>
      </c>
      <c r="D37" s="1">
        <f t="shared" si="0"/>
        <v>22.65141</v>
      </c>
      <c r="E37" s="1">
        <f t="shared" si="1"/>
        <v>11.808340000000001</v>
      </c>
      <c r="F37" s="22"/>
      <c r="G37" s="22"/>
      <c r="H37" s="22"/>
      <c r="I37" s="22"/>
      <c r="J37" s="22"/>
      <c r="K37" s="22"/>
      <c r="L37" s="22"/>
      <c r="M37" s="22"/>
      <c r="N37" s="4"/>
      <c r="O37" s="4"/>
      <c r="P37" s="4"/>
      <c r="Q37" s="4"/>
      <c r="R37" s="4"/>
      <c r="S37" s="22"/>
      <c r="T37" s="22"/>
      <c r="U37" s="22"/>
      <c r="V37" s="22"/>
      <c r="W37" s="22"/>
      <c r="X37" s="22"/>
      <c r="Y37" s="22"/>
      <c r="Z37" s="4"/>
      <c r="AA37" s="4"/>
      <c r="AB37" s="23">
        <v>13.13375</v>
      </c>
      <c r="AC37" s="4">
        <v>5.82728</v>
      </c>
      <c r="AD37" s="22"/>
      <c r="AE37" s="22"/>
      <c r="AF37" s="22"/>
      <c r="AG37" s="22"/>
      <c r="AH37" s="20"/>
      <c r="AI37" s="4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4"/>
      <c r="BA37" s="4"/>
      <c r="BB37" s="4"/>
      <c r="BC37" s="22"/>
      <c r="BD37" s="22"/>
      <c r="BE37" s="22"/>
      <c r="BF37" s="22">
        <v>9.51766</v>
      </c>
      <c r="BG37" s="4">
        <v>5.98106</v>
      </c>
      <c r="BH37" s="4"/>
      <c r="BI37" s="22"/>
      <c r="BJ37" s="22"/>
      <c r="BK37" s="22"/>
      <c r="BL37" s="22"/>
      <c r="BM37" s="22"/>
      <c r="BN37" s="22"/>
      <c r="BO37" s="4"/>
      <c r="BP37" s="4"/>
      <c r="BQ37" s="4"/>
      <c r="BR37" s="4"/>
      <c r="BS37" s="4"/>
      <c r="BT37" s="22"/>
      <c r="BU37" s="24"/>
    </row>
    <row r="38" spans="1:73" ht="73.5" customHeight="1" outlineLevel="2">
      <c r="A38" s="19" t="s">
        <v>272</v>
      </c>
      <c r="B38" s="19" t="s">
        <v>867</v>
      </c>
      <c r="C38" s="2">
        <f t="shared" si="2"/>
        <v>407.44074</v>
      </c>
      <c r="D38" s="1">
        <f t="shared" si="0"/>
        <v>236.52722999999997</v>
      </c>
      <c r="E38" s="1">
        <f t="shared" si="1"/>
        <v>170.91351</v>
      </c>
      <c r="F38" s="22"/>
      <c r="G38" s="22"/>
      <c r="H38" s="22"/>
      <c r="I38" s="22"/>
      <c r="J38" s="22"/>
      <c r="K38" s="22"/>
      <c r="L38" s="22"/>
      <c r="M38" s="22"/>
      <c r="N38" s="4"/>
      <c r="O38" s="4"/>
      <c r="P38" s="4"/>
      <c r="Q38" s="4"/>
      <c r="R38" s="4"/>
      <c r="S38" s="22"/>
      <c r="T38" s="22"/>
      <c r="U38" s="22"/>
      <c r="V38" s="22"/>
      <c r="W38" s="22"/>
      <c r="X38" s="22"/>
      <c r="Y38" s="22"/>
      <c r="Z38" s="4"/>
      <c r="AA38" s="4"/>
      <c r="AB38" s="23">
        <v>162.01142</v>
      </c>
      <c r="AC38" s="4">
        <v>80.88269</v>
      </c>
      <c r="AD38" s="22"/>
      <c r="AE38" s="22"/>
      <c r="AF38" s="22"/>
      <c r="AG38" s="22"/>
      <c r="AH38" s="20"/>
      <c r="AI38" s="4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4"/>
      <c r="BA38" s="4"/>
      <c r="BB38" s="4"/>
      <c r="BC38" s="22"/>
      <c r="BD38" s="22"/>
      <c r="BE38" s="22">
        <v>43.26139</v>
      </c>
      <c r="BF38" s="22">
        <v>74.51581</v>
      </c>
      <c r="BG38" s="4">
        <v>46.76943</v>
      </c>
      <c r="BH38" s="4"/>
      <c r="BI38" s="22"/>
      <c r="BJ38" s="22"/>
      <c r="BK38" s="22"/>
      <c r="BL38" s="22"/>
      <c r="BM38" s="22"/>
      <c r="BN38" s="22"/>
      <c r="BO38" s="4"/>
      <c r="BP38" s="4"/>
      <c r="BQ38" s="4"/>
      <c r="BR38" s="4"/>
      <c r="BS38" s="4"/>
      <c r="BT38" s="22"/>
      <c r="BU38" s="24"/>
    </row>
    <row r="39" spans="1:73" ht="73.5" customHeight="1" outlineLevel="2">
      <c r="A39" s="19" t="s">
        <v>272</v>
      </c>
      <c r="B39" s="19" t="s">
        <v>868</v>
      </c>
      <c r="C39" s="2">
        <f t="shared" si="2"/>
        <v>194.8552</v>
      </c>
      <c r="D39" s="1">
        <f t="shared" si="0"/>
        <v>125.76988</v>
      </c>
      <c r="E39" s="1">
        <f t="shared" si="1"/>
        <v>69.08532</v>
      </c>
      <c r="F39" s="22"/>
      <c r="G39" s="22"/>
      <c r="H39" s="22"/>
      <c r="I39" s="22"/>
      <c r="J39" s="22"/>
      <c r="K39" s="22"/>
      <c r="L39" s="22"/>
      <c r="M39" s="22"/>
      <c r="N39" s="4"/>
      <c r="O39" s="4"/>
      <c r="P39" s="4"/>
      <c r="Q39" s="4"/>
      <c r="R39" s="4"/>
      <c r="S39" s="22"/>
      <c r="T39" s="22"/>
      <c r="U39" s="22"/>
      <c r="V39" s="22"/>
      <c r="W39" s="22"/>
      <c r="X39" s="22"/>
      <c r="Y39" s="22"/>
      <c r="Z39" s="4"/>
      <c r="AA39" s="4"/>
      <c r="AB39" s="23">
        <v>69.57173</v>
      </c>
      <c r="AC39" s="4">
        <v>33.79824</v>
      </c>
      <c r="AD39" s="22"/>
      <c r="AE39" s="22"/>
      <c r="AF39" s="22"/>
      <c r="AG39" s="22"/>
      <c r="AH39" s="20"/>
      <c r="AI39" s="4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4"/>
      <c r="BA39" s="4"/>
      <c r="BB39" s="4"/>
      <c r="BC39" s="22"/>
      <c r="BD39" s="22"/>
      <c r="BE39" s="22"/>
      <c r="BF39" s="22">
        <v>56.19815</v>
      </c>
      <c r="BG39" s="28">
        <v>35.28708</v>
      </c>
      <c r="BH39" s="28"/>
      <c r="BI39" s="22"/>
      <c r="BJ39" s="22"/>
      <c r="BK39" s="22"/>
      <c r="BL39" s="22"/>
      <c r="BM39" s="22"/>
      <c r="BN39" s="22"/>
      <c r="BO39" s="4"/>
      <c r="BP39" s="4"/>
      <c r="BQ39" s="4"/>
      <c r="BR39" s="4"/>
      <c r="BS39" s="4"/>
      <c r="BT39" s="22"/>
      <c r="BU39" s="24"/>
    </row>
    <row r="40" spans="1:73" ht="73.5" customHeight="1" outlineLevel="2">
      <c r="A40" s="19" t="s">
        <v>272</v>
      </c>
      <c r="B40" s="19" t="s">
        <v>869</v>
      </c>
      <c r="C40" s="2">
        <f t="shared" si="2"/>
        <v>140.19871999999998</v>
      </c>
      <c r="D40" s="1">
        <f t="shared" si="0"/>
        <v>92.9019</v>
      </c>
      <c r="E40" s="1">
        <f t="shared" si="1"/>
        <v>47.29682</v>
      </c>
      <c r="F40" s="22"/>
      <c r="G40" s="22"/>
      <c r="H40" s="22"/>
      <c r="I40" s="22"/>
      <c r="J40" s="22"/>
      <c r="K40" s="22"/>
      <c r="L40" s="22"/>
      <c r="M40" s="22"/>
      <c r="N40" s="4"/>
      <c r="O40" s="4"/>
      <c r="P40" s="4"/>
      <c r="Q40" s="4"/>
      <c r="R40" s="4"/>
      <c r="S40" s="22"/>
      <c r="T40" s="22"/>
      <c r="U40" s="22"/>
      <c r="V40" s="22"/>
      <c r="W40" s="22"/>
      <c r="X40" s="22"/>
      <c r="Y40" s="22"/>
      <c r="Z40" s="4"/>
      <c r="AA40" s="4"/>
      <c r="AB40" s="23">
        <v>61.96061</v>
      </c>
      <c r="AC40" s="4">
        <v>27.97096</v>
      </c>
      <c r="AD40" s="22"/>
      <c r="AE40" s="22"/>
      <c r="AF40" s="22"/>
      <c r="AG40" s="22"/>
      <c r="AH40" s="20"/>
      <c r="AI40" s="4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4"/>
      <c r="BA40" s="4"/>
      <c r="BB40" s="4"/>
      <c r="BC40" s="22"/>
      <c r="BD40" s="22"/>
      <c r="BE40" s="22"/>
      <c r="BF40" s="22">
        <v>30.94129</v>
      </c>
      <c r="BG40" s="4">
        <v>19.32586</v>
      </c>
      <c r="BH40" s="4"/>
      <c r="BI40" s="22"/>
      <c r="BJ40" s="22"/>
      <c r="BK40" s="22"/>
      <c r="BL40" s="22"/>
      <c r="BM40" s="22"/>
      <c r="BN40" s="22"/>
      <c r="BO40" s="4"/>
      <c r="BP40" s="4"/>
      <c r="BQ40" s="4"/>
      <c r="BR40" s="4"/>
      <c r="BS40" s="4"/>
      <c r="BT40" s="22"/>
      <c r="BU40" s="24"/>
    </row>
    <row r="41" spans="1:73" ht="73.5" customHeight="1" outlineLevel="2">
      <c r="A41" s="19" t="s">
        <v>272</v>
      </c>
      <c r="B41" s="19" t="s">
        <v>605</v>
      </c>
      <c r="C41" s="2">
        <f t="shared" si="2"/>
        <v>353.07888</v>
      </c>
      <c r="D41" s="1">
        <f t="shared" si="0"/>
        <v>178.43262000000001</v>
      </c>
      <c r="E41" s="1">
        <f t="shared" si="1"/>
        <v>174.64626</v>
      </c>
      <c r="F41" s="22"/>
      <c r="G41" s="22"/>
      <c r="H41" s="22"/>
      <c r="I41" s="22"/>
      <c r="J41" s="22"/>
      <c r="K41" s="22"/>
      <c r="L41" s="22"/>
      <c r="M41" s="22"/>
      <c r="N41" s="4"/>
      <c r="O41" s="4"/>
      <c r="P41" s="4"/>
      <c r="Q41" s="4"/>
      <c r="R41" s="4"/>
      <c r="S41" s="22"/>
      <c r="T41" s="22"/>
      <c r="U41" s="22"/>
      <c r="V41" s="22"/>
      <c r="W41" s="22"/>
      <c r="X41" s="22"/>
      <c r="Y41" s="22"/>
      <c r="Z41" s="4"/>
      <c r="AA41" s="4">
        <v>2.3085</v>
      </c>
      <c r="AB41" s="23">
        <v>55.34091</v>
      </c>
      <c r="AC41" s="4">
        <v>40.09171</v>
      </c>
      <c r="AD41" s="22"/>
      <c r="AE41" s="22"/>
      <c r="AF41" s="22"/>
      <c r="AG41" s="22"/>
      <c r="AH41" s="20">
        <f>21.63192+33.7272</f>
        <v>55.359120000000004</v>
      </c>
      <c r="AI41" s="4">
        <v>33.7272</v>
      </c>
      <c r="AJ41" s="22">
        <v>21.63192</v>
      </c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4"/>
      <c r="BA41" s="4"/>
      <c r="BB41" s="4"/>
      <c r="BC41" s="22"/>
      <c r="BD41" s="22"/>
      <c r="BE41" s="22"/>
      <c r="BF41" s="22">
        <f>63.35788+59.73383</f>
        <v>123.09171</v>
      </c>
      <c r="BG41" s="4">
        <f>37.27174+39.61519</f>
        <v>76.88693</v>
      </c>
      <c r="BH41" s="4"/>
      <c r="BI41" s="22"/>
      <c r="BJ41" s="22"/>
      <c r="BK41" s="22"/>
      <c r="BL41" s="22"/>
      <c r="BM41" s="22"/>
      <c r="BN41" s="22"/>
      <c r="BO41" s="4"/>
      <c r="BP41" s="4"/>
      <c r="BQ41" s="4"/>
      <c r="BR41" s="4"/>
      <c r="BS41" s="4"/>
      <c r="BT41" s="22"/>
      <c r="BU41" s="24"/>
    </row>
    <row r="42" spans="1:73" ht="73.5" customHeight="1" outlineLevel="2">
      <c r="A42" s="19" t="s">
        <v>272</v>
      </c>
      <c r="B42" s="19" t="s">
        <v>606</v>
      </c>
      <c r="C42" s="2">
        <f t="shared" si="2"/>
        <v>705.9474</v>
      </c>
      <c r="D42" s="1">
        <f t="shared" si="0"/>
        <v>508.19792</v>
      </c>
      <c r="E42" s="1">
        <f t="shared" si="1"/>
        <v>197.74948</v>
      </c>
      <c r="F42" s="22"/>
      <c r="G42" s="22"/>
      <c r="H42" s="22"/>
      <c r="I42" s="22"/>
      <c r="J42" s="22"/>
      <c r="K42" s="22"/>
      <c r="L42" s="22"/>
      <c r="M42" s="22"/>
      <c r="N42" s="4"/>
      <c r="O42" s="4"/>
      <c r="P42" s="4"/>
      <c r="Q42" s="4"/>
      <c r="R42" s="4"/>
      <c r="S42" s="22"/>
      <c r="T42" s="22"/>
      <c r="U42" s="22"/>
      <c r="V42" s="22"/>
      <c r="W42" s="22"/>
      <c r="X42" s="22"/>
      <c r="Y42" s="22"/>
      <c r="Z42" s="4"/>
      <c r="AA42" s="4"/>
      <c r="AB42" s="23">
        <v>316.73707</v>
      </c>
      <c r="AC42" s="4">
        <v>78.08559</v>
      </c>
      <c r="AD42" s="22"/>
      <c r="AE42" s="22"/>
      <c r="AF42" s="22"/>
      <c r="AG42" s="22"/>
      <c r="AH42" s="20"/>
      <c r="AI42" s="4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4"/>
      <c r="BA42" s="4"/>
      <c r="BB42" s="4"/>
      <c r="BC42" s="22"/>
      <c r="BD42" s="22"/>
      <c r="BE42" s="22"/>
      <c r="BF42" s="22">
        <v>191.46085</v>
      </c>
      <c r="BG42" s="4">
        <v>119.66389</v>
      </c>
      <c r="BH42" s="4"/>
      <c r="BI42" s="22"/>
      <c r="BJ42" s="22"/>
      <c r="BK42" s="22"/>
      <c r="BL42" s="22"/>
      <c r="BM42" s="22"/>
      <c r="BN42" s="22"/>
      <c r="BO42" s="4"/>
      <c r="BP42" s="4"/>
      <c r="BQ42" s="4"/>
      <c r="BR42" s="4"/>
      <c r="BS42" s="4"/>
      <c r="BT42" s="22"/>
      <c r="BU42" s="24"/>
    </row>
    <row r="43" spans="1:73" ht="73.5" customHeight="1" outlineLevel="2">
      <c r="A43" s="19" t="s">
        <v>272</v>
      </c>
      <c r="B43" s="26" t="s">
        <v>607</v>
      </c>
      <c r="C43" s="2">
        <f t="shared" si="2"/>
        <v>641.50101</v>
      </c>
      <c r="D43" s="1">
        <f t="shared" si="0"/>
        <v>162.26006</v>
      </c>
      <c r="E43" s="1">
        <f t="shared" si="1"/>
        <v>479.24095</v>
      </c>
      <c r="F43" s="22"/>
      <c r="G43" s="22"/>
      <c r="H43" s="22"/>
      <c r="I43" s="22"/>
      <c r="J43" s="22"/>
      <c r="K43" s="22"/>
      <c r="L43" s="22"/>
      <c r="M43" s="22"/>
      <c r="N43" s="4"/>
      <c r="O43" s="4"/>
      <c r="P43" s="4"/>
      <c r="Q43" s="4"/>
      <c r="R43" s="4"/>
      <c r="S43" s="22"/>
      <c r="T43" s="22"/>
      <c r="U43" s="22"/>
      <c r="V43" s="22"/>
      <c r="W43" s="22"/>
      <c r="X43" s="22"/>
      <c r="Y43" s="22"/>
      <c r="Z43" s="4"/>
      <c r="AA43" s="4"/>
      <c r="AB43" s="23">
        <v>84.8193</v>
      </c>
      <c r="AC43" s="4">
        <v>31.93351</v>
      </c>
      <c r="AD43" s="22"/>
      <c r="AE43" s="22"/>
      <c r="AF43" s="22"/>
      <c r="AG43" s="22"/>
      <c r="AH43" s="20"/>
      <c r="AI43" s="4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4"/>
      <c r="BA43" s="4"/>
      <c r="BB43" s="4"/>
      <c r="BC43" s="22"/>
      <c r="BD43" s="22">
        <v>83.11975</v>
      </c>
      <c r="BE43" s="22"/>
      <c r="BF43" s="22">
        <v>77.44076</v>
      </c>
      <c r="BG43" s="4">
        <v>48.46325</v>
      </c>
      <c r="BH43" s="4"/>
      <c r="BI43" s="22"/>
      <c r="BJ43" s="22">
        <v>315.72444</v>
      </c>
      <c r="BK43" s="22"/>
      <c r="BL43" s="22"/>
      <c r="BM43" s="22"/>
      <c r="BN43" s="22"/>
      <c r="BO43" s="4"/>
      <c r="BP43" s="4"/>
      <c r="BQ43" s="4"/>
      <c r="BR43" s="4"/>
      <c r="BS43" s="4"/>
      <c r="BT43" s="22"/>
      <c r="BU43" s="24"/>
    </row>
    <row r="44" spans="1:73" ht="73.5" customHeight="1" outlineLevel="2">
      <c r="A44" s="19" t="s">
        <v>272</v>
      </c>
      <c r="B44" s="26" t="s">
        <v>608</v>
      </c>
      <c r="C44" s="2">
        <f t="shared" si="2"/>
        <v>379.06467000000004</v>
      </c>
      <c r="D44" s="1">
        <f t="shared" si="0"/>
        <v>64.78465</v>
      </c>
      <c r="E44" s="1">
        <f t="shared" si="1"/>
        <v>314.28002000000004</v>
      </c>
      <c r="F44" s="22"/>
      <c r="G44" s="22"/>
      <c r="H44" s="22"/>
      <c r="I44" s="22"/>
      <c r="J44" s="22"/>
      <c r="K44" s="22"/>
      <c r="L44" s="22"/>
      <c r="M44" s="22"/>
      <c r="N44" s="4"/>
      <c r="O44" s="4"/>
      <c r="P44" s="4"/>
      <c r="Q44" s="4"/>
      <c r="R44" s="4"/>
      <c r="S44" s="22"/>
      <c r="T44" s="22"/>
      <c r="U44" s="22"/>
      <c r="V44" s="22"/>
      <c r="W44" s="22"/>
      <c r="X44" s="22"/>
      <c r="Y44" s="22"/>
      <c r="Z44" s="4"/>
      <c r="AA44" s="4"/>
      <c r="AB44" s="23">
        <v>30.68804</v>
      </c>
      <c r="AC44" s="4">
        <v>13.98548</v>
      </c>
      <c r="AD44" s="22"/>
      <c r="AE44" s="22"/>
      <c r="AF44" s="22"/>
      <c r="AG44" s="22"/>
      <c r="AH44" s="20"/>
      <c r="AI44" s="4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4"/>
      <c r="BA44" s="4"/>
      <c r="BB44" s="4"/>
      <c r="BC44" s="22"/>
      <c r="BD44" s="22"/>
      <c r="BE44" s="22"/>
      <c r="BF44" s="22">
        <v>34.09661</v>
      </c>
      <c r="BG44" s="4">
        <v>21.31519</v>
      </c>
      <c r="BH44" s="4"/>
      <c r="BI44" s="22"/>
      <c r="BJ44" s="22">
        <v>278.97935</v>
      </c>
      <c r="BK44" s="22"/>
      <c r="BL44" s="22"/>
      <c r="BM44" s="22"/>
      <c r="BN44" s="22"/>
      <c r="BO44" s="4"/>
      <c r="BP44" s="4"/>
      <c r="BQ44" s="4"/>
      <c r="BR44" s="4"/>
      <c r="BS44" s="4"/>
      <c r="BT44" s="22"/>
      <c r="BU44" s="24"/>
    </row>
    <row r="45" spans="1:73" ht="73.5" customHeight="1" outlineLevel="2">
      <c r="A45" s="19" t="s">
        <v>272</v>
      </c>
      <c r="B45" s="19" t="s">
        <v>609</v>
      </c>
      <c r="C45" s="2">
        <f t="shared" si="2"/>
        <v>2299.8611</v>
      </c>
      <c r="D45" s="1">
        <f t="shared" si="0"/>
        <v>579.99849</v>
      </c>
      <c r="E45" s="1">
        <f t="shared" si="1"/>
        <v>1719.86261</v>
      </c>
      <c r="F45" s="22"/>
      <c r="G45" s="22"/>
      <c r="H45" s="22"/>
      <c r="I45" s="22"/>
      <c r="J45" s="22"/>
      <c r="K45" s="22"/>
      <c r="L45" s="22"/>
      <c r="M45" s="22"/>
      <c r="N45" s="4"/>
      <c r="O45" s="4"/>
      <c r="P45" s="4"/>
      <c r="Q45" s="4"/>
      <c r="R45" s="4"/>
      <c r="S45" s="22"/>
      <c r="T45" s="22"/>
      <c r="U45" s="22"/>
      <c r="V45" s="22"/>
      <c r="W45" s="22"/>
      <c r="X45" s="22"/>
      <c r="Y45" s="22"/>
      <c r="Z45" s="4"/>
      <c r="AA45" s="4"/>
      <c r="AB45" s="23">
        <v>304.44481</v>
      </c>
      <c r="AC45" s="4">
        <v>116.54566</v>
      </c>
      <c r="AD45" s="22"/>
      <c r="AE45" s="22"/>
      <c r="AF45" s="22"/>
      <c r="AG45" s="22"/>
      <c r="AH45" s="20"/>
      <c r="AI45" s="4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4"/>
      <c r="BA45" s="4"/>
      <c r="BB45" s="4"/>
      <c r="BC45" s="22"/>
      <c r="BD45" s="22"/>
      <c r="BE45" s="22">
        <v>1431</v>
      </c>
      <c r="BF45" s="22">
        <v>275.55368</v>
      </c>
      <c r="BG45" s="4">
        <v>172.31695</v>
      </c>
      <c r="BH45" s="4"/>
      <c r="BI45" s="22"/>
      <c r="BJ45" s="22"/>
      <c r="BK45" s="22"/>
      <c r="BL45" s="22"/>
      <c r="BM45" s="22"/>
      <c r="BN45" s="22"/>
      <c r="BO45" s="4"/>
      <c r="BP45" s="4"/>
      <c r="BQ45" s="4"/>
      <c r="BR45" s="4"/>
      <c r="BS45" s="4"/>
      <c r="BT45" s="22"/>
      <c r="BU45" s="24"/>
    </row>
    <row r="46" spans="1:73" ht="73.5" customHeight="1" outlineLevel="2">
      <c r="A46" s="19" t="s">
        <v>272</v>
      </c>
      <c r="B46" s="19" t="s">
        <v>610</v>
      </c>
      <c r="C46" s="2">
        <f t="shared" si="2"/>
        <v>54.863240000000005</v>
      </c>
      <c r="D46" s="1">
        <f t="shared" si="0"/>
        <v>33.75301</v>
      </c>
      <c r="E46" s="1">
        <f t="shared" si="1"/>
        <v>21.11023</v>
      </c>
      <c r="F46" s="22"/>
      <c r="G46" s="22"/>
      <c r="H46" s="22"/>
      <c r="I46" s="22"/>
      <c r="J46" s="22"/>
      <c r="K46" s="22"/>
      <c r="L46" s="22"/>
      <c r="M46" s="22"/>
      <c r="N46" s="4"/>
      <c r="O46" s="4"/>
      <c r="P46" s="4"/>
      <c r="Q46" s="4"/>
      <c r="R46" s="4"/>
      <c r="S46" s="22"/>
      <c r="T46" s="22"/>
      <c r="U46" s="22"/>
      <c r="V46" s="22"/>
      <c r="W46" s="22"/>
      <c r="X46" s="22"/>
      <c r="Y46" s="22"/>
      <c r="Z46" s="4"/>
      <c r="AA46" s="4"/>
      <c r="AB46" s="23"/>
      <c r="AC46" s="4"/>
      <c r="AD46" s="22"/>
      <c r="AE46" s="22"/>
      <c r="AF46" s="22"/>
      <c r="AG46" s="22"/>
      <c r="AH46" s="20"/>
      <c r="AI46" s="4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4"/>
      <c r="BA46" s="4"/>
      <c r="BB46" s="4"/>
      <c r="BC46" s="22"/>
      <c r="BD46" s="22"/>
      <c r="BE46" s="22"/>
      <c r="BF46" s="22">
        <v>33.75301</v>
      </c>
      <c r="BG46" s="4">
        <v>21.11023</v>
      </c>
      <c r="BH46" s="4"/>
      <c r="BI46" s="22"/>
      <c r="BJ46" s="22"/>
      <c r="BK46" s="22"/>
      <c r="BL46" s="22"/>
      <c r="BM46" s="22"/>
      <c r="BN46" s="22"/>
      <c r="BO46" s="4"/>
      <c r="BP46" s="4"/>
      <c r="BQ46" s="4"/>
      <c r="BR46" s="4"/>
      <c r="BS46" s="4"/>
      <c r="BT46" s="22"/>
      <c r="BU46" s="24"/>
    </row>
    <row r="47" spans="1:73" ht="73.5" customHeight="1" outlineLevel="2">
      <c r="A47" s="19" t="s">
        <v>272</v>
      </c>
      <c r="B47" s="19" t="s">
        <v>611</v>
      </c>
      <c r="C47" s="2">
        <f t="shared" si="2"/>
        <v>667.5081700000001</v>
      </c>
      <c r="D47" s="1">
        <f t="shared" si="0"/>
        <v>349.63077</v>
      </c>
      <c r="E47" s="1">
        <f t="shared" si="1"/>
        <v>317.8774</v>
      </c>
      <c r="F47" s="22"/>
      <c r="G47" s="22"/>
      <c r="H47" s="22"/>
      <c r="I47" s="22"/>
      <c r="J47" s="22"/>
      <c r="K47" s="22"/>
      <c r="L47" s="22"/>
      <c r="M47" s="22"/>
      <c r="N47" s="4"/>
      <c r="O47" s="4"/>
      <c r="P47" s="4"/>
      <c r="Q47" s="4"/>
      <c r="R47" s="4"/>
      <c r="S47" s="22"/>
      <c r="T47" s="22"/>
      <c r="U47" s="22"/>
      <c r="V47" s="22"/>
      <c r="W47" s="22"/>
      <c r="X47" s="22"/>
      <c r="Y47" s="22"/>
      <c r="Z47" s="4"/>
      <c r="AA47" s="4">
        <v>11.9475</v>
      </c>
      <c r="AB47" s="23">
        <v>131.52889</v>
      </c>
      <c r="AC47" s="4">
        <v>68.76194</v>
      </c>
      <c r="AD47" s="22"/>
      <c r="AE47" s="22"/>
      <c r="AF47" s="22"/>
      <c r="AG47" s="22"/>
      <c r="AH47" s="20">
        <v>0.90133</v>
      </c>
      <c r="AI47" s="4"/>
      <c r="AJ47" s="20">
        <v>0.90133</v>
      </c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4"/>
      <c r="BA47" s="4"/>
      <c r="BB47" s="4"/>
      <c r="BC47" s="22"/>
      <c r="BD47" s="22">
        <v>99.93655</v>
      </c>
      <c r="BE47" s="22"/>
      <c r="BF47" s="22">
        <v>218.10188</v>
      </c>
      <c r="BG47" s="4">
        <v>136.33008</v>
      </c>
      <c r="BH47" s="4"/>
      <c r="BI47" s="22"/>
      <c r="BJ47" s="22"/>
      <c r="BK47" s="22"/>
      <c r="BL47" s="22"/>
      <c r="BM47" s="22"/>
      <c r="BN47" s="22"/>
      <c r="BO47" s="4"/>
      <c r="BP47" s="4"/>
      <c r="BQ47" s="4"/>
      <c r="BR47" s="4"/>
      <c r="BS47" s="4"/>
      <c r="BT47" s="22"/>
      <c r="BU47" s="24"/>
    </row>
    <row r="48" spans="1:73" ht="73.5" customHeight="1" outlineLevel="2">
      <c r="A48" s="19" t="s">
        <v>272</v>
      </c>
      <c r="B48" s="19" t="s">
        <v>612</v>
      </c>
      <c r="C48" s="2">
        <f t="shared" si="2"/>
        <v>169.88501000000002</v>
      </c>
      <c r="D48" s="1">
        <f t="shared" si="0"/>
        <v>129.42534</v>
      </c>
      <c r="E48" s="1">
        <f t="shared" si="1"/>
        <v>40.45967</v>
      </c>
      <c r="F48" s="22"/>
      <c r="G48" s="22"/>
      <c r="H48" s="22"/>
      <c r="I48" s="22"/>
      <c r="J48" s="22"/>
      <c r="K48" s="22"/>
      <c r="L48" s="22"/>
      <c r="M48" s="22"/>
      <c r="N48" s="4"/>
      <c r="O48" s="4"/>
      <c r="P48" s="4"/>
      <c r="Q48" s="4"/>
      <c r="R48" s="4"/>
      <c r="S48" s="22"/>
      <c r="T48" s="22"/>
      <c r="U48" s="22"/>
      <c r="V48" s="22"/>
      <c r="W48" s="22"/>
      <c r="X48" s="22"/>
      <c r="Y48" s="22"/>
      <c r="Z48" s="4"/>
      <c r="AA48" s="4"/>
      <c r="AB48" s="23">
        <v>102.00119</v>
      </c>
      <c r="AC48" s="4">
        <v>23.30913</v>
      </c>
      <c r="AD48" s="22"/>
      <c r="AE48" s="22"/>
      <c r="AF48" s="22"/>
      <c r="AG48" s="22"/>
      <c r="AH48" s="20"/>
      <c r="AI48" s="4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4"/>
      <c r="BA48" s="4"/>
      <c r="BB48" s="4"/>
      <c r="BC48" s="22"/>
      <c r="BD48" s="22"/>
      <c r="BE48" s="22"/>
      <c r="BF48" s="22">
        <v>27.42415</v>
      </c>
      <c r="BG48" s="4">
        <v>17.15054</v>
      </c>
      <c r="BH48" s="4"/>
      <c r="BI48" s="22"/>
      <c r="BJ48" s="22"/>
      <c r="BK48" s="22"/>
      <c r="BL48" s="22"/>
      <c r="BM48" s="22"/>
      <c r="BN48" s="22"/>
      <c r="BO48" s="4"/>
      <c r="BP48" s="4"/>
      <c r="BQ48" s="4"/>
      <c r="BR48" s="4"/>
      <c r="BS48" s="4"/>
      <c r="BT48" s="22"/>
      <c r="BU48" s="24"/>
    </row>
    <row r="49" spans="1:73" ht="73.5" customHeight="1" outlineLevel="2">
      <c r="A49" s="19" t="s">
        <v>272</v>
      </c>
      <c r="B49" s="19" t="s">
        <v>613</v>
      </c>
      <c r="C49" s="2">
        <f t="shared" si="2"/>
        <v>259.11594</v>
      </c>
      <c r="D49" s="1">
        <f t="shared" si="0"/>
        <v>164.05722</v>
      </c>
      <c r="E49" s="1">
        <f t="shared" si="1"/>
        <v>95.05872</v>
      </c>
      <c r="F49" s="22"/>
      <c r="G49" s="22"/>
      <c r="H49" s="22"/>
      <c r="I49" s="22"/>
      <c r="J49" s="22"/>
      <c r="K49" s="22"/>
      <c r="L49" s="22"/>
      <c r="M49" s="22"/>
      <c r="N49" s="4"/>
      <c r="O49" s="4"/>
      <c r="P49" s="4"/>
      <c r="Q49" s="4"/>
      <c r="R49" s="4"/>
      <c r="S49" s="22"/>
      <c r="T49" s="22"/>
      <c r="U49" s="22"/>
      <c r="V49" s="22"/>
      <c r="W49" s="22"/>
      <c r="X49" s="22"/>
      <c r="Y49" s="22"/>
      <c r="Z49" s="4"/>
      <c r="AA49" s="4"/>
      <c r="AB49" s="23">
        <v>77.23156</v>
      </c>
      <c r="AC49" s="4">
        <v>40.79098</v>
      </c>
      <c r="AD49" s="22"/>
      <c r="AE49" s="22"/>
      <c r="AF49" s="22"/>
      <c r="AG49" s="22"/>
      <c r="AH49" s="20"/>
      <c r="AI49" s="4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4"/>
      <c r="BA49" s="4"/>
      <c r="BB49" s="4"/>
      <c r="BC49" s="22"/>
      <c r="BD49" s="22"/>
      <c r="BE49" s="22"/>
      <c r="BF49" s="22">
        <v>86.82566</v>
      </c>
      <c r="BG49" s="4">
        <v>54.26774</v>
      </c>
      <c r="BH49" s="4"/>
      <c r="BI49" s="22"/>
      <c r="BJ49" s="22"/>
      <c r="BK49" s="22"/>
      <c r="BL49" s="22"/>
      <c r="BM49" s="22"/>
      <c r="BN49" s="22"/>
      <c r="BO49" s="4"/>
      <c r="BP49" s="4"/>
      <c r="BQ49" s="4"/>
      <c r="BR49" s="4"/>
      <c r="BS49" s="4"/>
      <c r="BT49" s="22"/>
      <c r="BU49" s="24"/>
    </row>
    <row r="50" spans="1:73" ht="73.5" customHeight="1" outlineLevel="2">
      <c r="A50" s="19" t="s">
        <v>272</v>
      </c>
      <c r="B50" s="19" t="s">
        <v>614</v>
      </c>
      <c r="C50" s="2">
        <f t="shared" si="2"/>
        <v>14.93179</v>
      </c>
      <c r="D50" s="1">
        <f t="shared" si="0"/>
        <v>9.3398</v>
      </c>
      <c r="E50" s="1">
        <f t="shared" si="1"/>
        <v>5.59199</v>
      </c>
      <c r="F50" s="22"/>
      <c r="G50" s="22"/>
      <c r="H50" s="22"/>
      <c r="I50" s="22"/>
      <c r="J50" s="22"/>
      <c r="K50" s="22"/>
      <c r="L50" s="22"/>
      <c r="M50" s="22"/>
      <c r="N50" s="4"/>
      <c r="O50" s="4"/>
      <c r="P50" s="4"/>
      <c r="Q50" s="4"/>
      <c r="R50" s="4"/>
      <c r="S50" s="22"/>
      <c r="T50" s="22"/>
      <c r="U50" s="22"/>
      <c r="V50" s="22"/>
      <c r="W50" s="22"/>
      <c r="X50" s="22"/>
      <c r="Y50" s="22"/>
      <c r="Z50" s="4"/>
      <c r="AA50" s="4"/>
      <c r="AB50" s="23">
        <v>4.12827</v>
      </c>
      <c r="AC50" s="4">
        <v>2.33091</v>
      </c>
      <c r="AD50" s="22"/>
      <c r="AE50" s="22"/>
      <c r="AF50" s="22"/>
      <c r="AG50" s="22"/>
      <c r="AH50" s="20"/>
      <c r="AI50" s="4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4"/>
      <c r="BA50" s="4"/>
      <c r="BB50" s="4"/>
      <c r="BC50" s="22"/>
      <c r="BD50" s="22"/>
      <c r="BE50" s="22"/>
      <c r="BF50" s="22">
        <v>5.21153</v>
      </c>
      <c r="BG50" s="4">
        <v>3.26108</v>
      </c>
      <c r="BH50" s="4"/>
      <c r="BI50" s="22"/>
      <c r="BJ50" s="22"/>
      <c r="BK50" s="22"/>
      <c r="BL50" s="22"/>
      <c r="BM50" s="22"/>
      <c r="BN50" s="22"/>
      <c r="BO50" s="4"/>
      <c r="BP50" s="4"/>
      <c r="BQ50" s="4"/>
      <c r="BR50" s="4"/>
      <c r="BS50" s="4"/>
      <c r="BT50" s="22"/>
      <c r="BU50" s="24"/>
    </row>
    <row r="51" spans="1:73" ht="73.5" customHeight="1" outlineLevel="2">
      <c r="A51" s="25" t="s">
        <v>272</v>
      </c>
      <c r="B51" s="25" t="s">
        <v>615</v>
      </c>
      <c r="C51" s="2">
        <f t="shared" si="2"/>
        <v>74.67722</v>
      </c>
      <c r="D51" s="1">
        <f t="shared" si="0"/>
        <v>44.40675</v>
      </c>
      <c r="E51" s="1">
        <f t="shared" si="1"/>
        <v>30.27047</v>
      </c>
      <c r="F51" s="22"/>
      <c r="G51" s="22"/>
      <c r="H51" s="22"/>
      <c r="I51" s="22"/>
      <c r="J51" s="22"/>
      <c r="K51" s="22"/>
      <c r="L51" s="22"/>
      <c r="M51" s="22"/>
      <c r="N51" s="4"/>
      <c r="O51" s="4"/>
      <c r="P51" s="4"/>
      <c r="Q51" s="4"/>
      <c r="R51" s="4"/>
      <c r="S51" s="22"/>
      <c r="T51" s="22"/>
      <c r="U51" s="22"/>
      <c r="V51" s="22"/>
      <c r="W51" s="22"/>
      <c r="X51" s="22"/>
      <c r="Y51" s="22"/>
      <c r="Z51" s="22"/>
      <c r="AA51" s="4"/>
      <c r="AB51" s="23">
        <v>14.61335</v>
      </c>
      <c r="AC51" s="4">
        <v>11.65457</v>
      </c>
      <c r="AD51" s="22"/>
      <c r="AE51" s="22"/>
      <c r="AF51" s="22"/>
      <c r="AG51" s="22"/>
      <c r="AH51" s="20"/>
      <c r="AI51" s="4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4"/>
      <c r="BA51" s="4"/>
      <c r="BB51" s="4"/>
      <c r="BC51" s="22"/>
      <c r="BD51" s="22"/>
      <c r="BE51" s="22"/>
      <c r="BF51" s="22">
        <v>29.7934</v>
      </c>
      <c r="BG51" s="4">
        <v>18.6159</v>
      </c>
      <c r="BH51" s="4"/>
      <c r="BI51" s="22"/>
      <c r="BJ51" s="22"/>
      <c r="BK51" s="22"/>
      <c r="BL51" s="22"/>
      <c r="BM51" s="22"/>
      <c r="BN51" s="22"/>
      <c r="BO51" s="4"/>
      <c r="BP51" s="4"/>
      <c r="BQ51" s="4"/>
      <c r="BR51" s="4"/>
      <c r="BS51" s="4"/>
      <c r="BT51" s="22"/>
      <c r="BU51" s="24"/>
    </row>
    <row r="52" spans="1:73" ht="73.5" customHeight="1" outlineLevel="2">
      <c r="A52" s="25" t="s">
        <v>272</v>
      </c>
      <c r="B52" s="19" t="s">
        <v>616</v>
      </c>
      <c r="C52" s="2">
        <f t="shared" si="2"/>
        <v>155.03397999999999</v>
      </c>
      <c r="D52" s="1">
        <f t="shared" si="0"/>
        <v>81.64685</v>
      </c>
      <c r="E52" s="1">
        <f t="shared" si="1"/>
        <v>73.38713</v>
      </c>
      <c r="F52" s="22"/>
      <c r="G52" s="22"/>
      <c r="H52" s="22"/>
      <c r="I52" s="22"/>
      <c r="J52" s="22"/>
      <c r="K52" s="22"/>
      <c r="L52" s="22"/>
      <c r="M52" s="22"/>
      <c r="N52" s="4"/>
      <c r="O52" s="4"/>
      <c r="P52" s="4"/>
      <c r="Q52" s="4"/>
      <c r="R52" s="4"/>
      <c r="S52" s="22"/>
      <c r="T52" s="22"/>
      <c r="U52" s="22"/>
      <c r="V52" s="22"/>
      <c r="W52" s="22"/>
      <c r="X52" s="22"/>
      <c r="Y52" s="22"/>
      <c r="Z52" s="22"/>
      <c r="AA52" s="4"/>
      <c r="AB52" s="23">
        <v>37.33711</v>
      </c>
      <c r="AC52" s="4">
        <v>17.01567</v>
      </c>
      <c r="AD52" s="22"/>
      <c r="AE52" s="22"/>
      <c r="AF52" s="22"/>
      <c r="AG52" s="22"/>
      <c r="AH52" s="20"/>
      <c r="AI52" s="4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4"/>
      <c r="BA52" s="4"/>
      <c r="BB52" s="4"/>
      <c r="BC52" s="22"/>
      <c r="BD52" s="22">
        <v>28.6923</v>
      </c>
      <c r="BE52" s="22"/>
      <c r="BF52" s="22">
        <v>44.30974</v>
      </c>
      <c r="BG52" s="4">
        <v>27.67916</v>
      </c>
      <c r="BH52" s="4"/>
      <c r="BI52" s="22"/>
      <c r="BJ52" s="22"/>
      <c r="BK52" s="22"/>
      <c r="BL52" s="22"/>
      <c r="BM52" s="22"/>
      <c r="BN52" s="22"/>
      <c r="BO52" s="4"/>
      <c r="BP52" s="4"/>
      <c r="BQ52" s="4"/>
      <c r="BR52" s="4"/>
      <c r="BS52" s="4"/>
      <c r="BT52" s="22"/>
      <c r="BU52" s="24"/>
    </row>
    <row r="53" spans="1:73" ht="73.5" customHeight="1" outlineLevel="2">
      <c r="A53" s="25" t="s">
        <v>272</v>
      </c>
      <c r="B53" s="19" t="s">
        <v>617</v>
      </c>
      <c r="C53" s="2">
        <f t="shared" si="2"/>
        <v>123.62052</v>
      </c>
      <c r="D53" s="1">
        <f t="shared" si="0"/>
        <v>77.55335</v>
      </c>
      <c r="E53" s="1">
        <f t="shared" si="1"/>
        <v>46.067170000000004</v>
      </c>
      <c r="F53" s="22"/>
      <c r="G53" s="22"/>
      <c r="H53" s="22"/>
      <c r="I53" s="22"/>
      <c r="J53" s="22"/>
      <c r="K53" s="22"/>
      <c r="L53" s="22"/>
      <c r="M53" s="22"/>
      <c r="N53" s="4"/>
      <c r="O53" s="4"/>
      <c r="P53" s="4"/>
      <c r="Q53" s="4"/>
      <c r="R53" s="4"/>
      <c r="S53" s="22"/>
      <c r="T53" s="22"/>
      <c r="U53" s="22"/>
      <c r="V53" s="22"/>
      <c r="W53" s="22"/>
      <c r="X53" s="22"/>
      <c r="Y53" s="22"/>
      <c r="Z53" s="22"/>
      <c r="AA53" s="4">
        <v>2.3085</v>
      </c>
      <c r="AB53" s="23">
        <v>33.24537</v>
      </c>
      <c r="AC53" s="4">
        <v>15.15094</v>
      </c>
      <c r="AD53" s="22"/>
      <c r="AE53" s="22"/>
      <c r="AF53" s="22"/>
      <c r="AG53" s="22"/>
      <c r="AH53" s="20">
        <v>0.90133</v>
      </c>
      <c r="AI53" s="4"/>
      <c r="AJ53" s="20">
        <v>0.90133</v>
      </c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4"/>
      <c r="BA53" s="4"/>
      <c r="BB53" s="4"/>
      <c r="BC53" s="22"/>
      <c r="BD53" s="22"/>
      <c r="BE53" s="22"/>
      <c r="BF53" s="22">
        <v>44.30798</v>
      </c>
      <c r="BG53" s="4">
        <v>27.7064</v>
      </c>
      <c r="BH53" s="4"/>
      <c r="BI53" s="22"/>
      <c r="BJ53" s="22"/>
      <c r="BK53" s="22"/>
      <c r="BL53" s="22"/>
      <c r="BM53" s="22"/>
      <c r="BN53" s="22"/>
      <c r="BO53" s="4"/>
      <c r="BP53" s="4"/>
      <c r="BQ53" s="4"/>
      <c r="BR53" s="4"/>
      <c r="BS53" s="4"/>
      <c r="BT53" s="22"/>
      <c r="BU53" s="24"/>
    </row>
    <row r="54" spans="1:73" ht="73.5" customHeight="1" outlineLevel="2">
      <c r="A54" s="19" t="s">
        <v>272</v>
      </c>
      <c r="B54" s="26" t="s">
        <v>618</v>
      </c>
      <c r="C54" s="2">
        <f t="shared" si="2"/>
        <v>511.38622</v>
      </c>
      <c r="D54" s="1">
        <f t="shared" si="0"/>
        <v>303.95304</v>
      </c>
      <c r="E54" s="1">
        <f t="shared" si="1"/>
        <v>207.43318</v>
      </c>
      <c r="F54" s="22"/>
      <c r="G54" s="22"/>
      <c r="H54" s="22"/>
      <c r="I54" s="22"/>
      <c r="J54" s="22"/>
      <c r="K54" s="22"/>
      <c r="L54" s="22"/>
      <c r="M54" s="22"/>
      <c r="N54" s="4"/>
      <c r="O54" s="4"/>
      <c r="P54" s="4"/>
      <c r="Q54" s="4"/>
      <c r="R54" s="4"/>
      <c r="S54" s="22"/>
      <c r="T54" s="22"/>
      <c r="U54" s="22"/>
      <c r="V54" s="22"/>
      <c r="W54" s="22"/>
      <c r="X54" s="22"/>
      <c r="Y54" s="22"/>
      <c r="Z54" s="4"/>
      <c r="AA54" s="4">
        <v>6.966</v>
      </c>
      <c r="AB54" s="23">
        <v>136.30603</v>
      </c>
      <c r="AC54" s="4">
        <v>66.89721</v>
      </c>
      <c r="AD54" s="22"/>
      <c r="AE54" s="22"/>
      <c r="AF54" s="22"/>
      <c r="AG54" s="22"/>
      <c r="AH54" s="20">
        <v>28.84256</v>
      </c>
      <c r="AI54" s="4"/>
      <c r="AJ54" s="20">
        <v>28.84256</v>
      </c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4"/>
      <c r="BA54" s="4"/>
      <c r="BB54" s="4"/>
      <c r="BC54" s="22"/>
      <c r="BD54" s="22"/>
      <c r="BE54" s="22"/>
      <c r="BF54" s="22">
        <v>167.64701</v>
      </c>
      <c r="BG54" s="4">
        <v>104.72741</v>
      </c>
      <c r="BH54" s="4"/>
      <c r="BI54" s="22"/>
      <c r="BJ54" s="22"/>
      <c r="BK54" s="22"/>
      <c r="BL54" s="22"/>
      <c r="BM54" s="22"/>
      <c r="BN54" s="22"/>
      <c r="BO54" s="4"/>
      <c r="BP54" s="4"/>
      <c r="BQ54" s="4"/>
      <c r="BR54" s="4"/>
      <c r="BS54" s="4"/>
      <c r="BT54" s="22"/>
      <c r="BU54" s="24"/>
    </row>
    <row r="55" spans="1:73" ht="73.5" customHeight="1" outlineLevel="2">
      <c r="A55" s="19" t="s">
        <v>272</v>
      </c>
      <c r="B55" s="26" t="s">
        <v>619</v>
      </c>
      <c r="C55" s="2">
        <f t="shared" si="2"/>
        <v>58.93203</v>
      </c>
      <c r="D55" s="1">
        <f t="shared" si="0"/>
        <v>38.46788</v>
      </c>
      <c r="E55" s="1">
        <f t="shared" si="1"/>
        <v>20.46415</v>
      </c>
      <c r="F55" s="22"/>
      <c r="G55" s="22"/>
      <c r="H55" s="22"/>
      <c r="I55" s="22"/>
      <c r="J55" s="22"/>
      <c r="K55" s="22"/>
      <c r="L55" s="22"/>
      <c r="M55" s="22"/>
      <c r="N55" s="4"/>
      <c r="O55" s="4"/>
      <c r="P55" s="4"/>
      <c r="Q55" s="4"/>
      <c r="R55" s="4"/>
      <c r="S55" s="22"/>
      <c r="T55" s="22"/>
      <c r="U55" s="22"/>
      <c r="V55" s="22"/>
      <c r="W55" s="22"/>
      <c r="X55" s="22"/>
      <c r="Y55" s="22"/>
      <c r="Z55" s="4"/>
      <c r="AA55" s="4"/>
      <c r="AB55" s="23">
        <v>24.35558</v>
      </c>
      <c r="AC55" s="4">
        <v>11.65457</v>
      </c>
      <c r="AD55" s="22"/>
      <c r="AE55" s="22"/>
      <c r="AF55" s="22"/>
      <c r="AG55" s="22"/>
      <c r="AH55" s="20"/>
      <c r="AI55" s="4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4"/>
      <c r="BA55" s="4"/>
      <c r="BB55" s="4"/>
      <c r="BC55" s="22"/>
      <c r="BD55" s="22"/>
      <c r="BE55" s="22"/>
      <c r="BF55" s="22">
        <v>14.1123</v>
      </c>
      <c r="BG55" s="4">
        <v>8.80958</v>
      </c>
      <c r="BH55" s="4"/>
      <c r="BI55" s="22"/>
      <c r="BJ55" s="22"/>
      <c r="BK55" s="22"/>
      <c r="BL55" s="22"/>
      <c r="BM55" s="22"/>
      <c r="BN55" s="22"/>
      <c r="BO55" s="4"/>
      <c r="BP55" s="22"/>
      <c r="BQ55" s="22"/>
      <c r="BR55" s="22"/>
      <c r="BS55" s="4"/>
      <c r="BT55" s="22"/>
      <c r="BU55" s="24"/>
    </row>
    <row r="56" spans="1:73" ht="73.5" customHeight="1" outlineLevel="2">
      <c r="A56" s="25" t="s">
        <v>272</v>
      </c>
      <c r="B56" s="25" t="s">
        <v>276</v>
      </c>
      <c r="C56" s="2">
        <f t="shared" si="2"/>
        <v>532.65545</v>
      </c>
      <c r="D56" s="1">
        <f t="shared" si="0"/>
        <v>118.44668</v>
      </c>
      <c r="E56" s="1">
        <f t="shared" si="1"/>
        <v>414.20877</v>
      </c>
      <c r="F56" s="22"/>
      <c r="G56" s="22"/>
      <c r="H56" s="22"/>
      <c r="I56" s="22"/>
      <c r="J56" s="22"/>
      <c r="K56" s="22"/>
      <c r="L56" s="22">
        <v>321.2792</v>
      </c>
      <c r="M56" s="22"/>
      <c r="N56" s="4"/>
      <c r="O56" s="4"/>
      <c r="P56" s="4"/>
      <c r="Q56" s="4"/>
      <c r="R56" s="4"/>
      <c r="S56" s="22"/>
      <c r="T56" s="22"/>
      <c r="U56" s="22"/>
      <c r="V56" s="22"/>
      <c r="W56" s="22"/>
      <c r="X56" s="22"/>
      <c r="Y56" s="22"/>
      <c r="Z56" s="4"/>
      <c r="AA56" s="4"/>
      <c r="AB56" s="23">
        <v>20.74243</v>
      </c>
      <c r="AC56" s="4">
        <v>31.93351</v>
      </c>
      <c r="AD56" s="22"/>
      <c r="AE56" s="22"/>
      <c r="AF56" s="22"/>
      <c r="AG56" s="22"/>
      <c r="AH56" s="20"/>
      <c r="AI56" s="4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4"/>
      <c r="BA56" s="4"/>
      <c r="BB56" s="4"/>
      <c r="BC56" s="22"/>
      <c r="BD56" s="22"/>
      <c r="BE56" s="22"/>
      <c r="BF56" s="22">
        <v>97.70425</v>
      </c>
      <c r="BG56" s="4">
        <v>60.99606</v>
      </c>
      <c r="BH56" s="4"/>
      <c r="BI56" s="22"/>
      <c r="BJ56" s="22"/>
      <c r="BK56" s="22"/>
      <c r="BL56" s="22"/>
      <c r="BM56" s="22"/>
      <c r="BN56" s="22"/>
      <c r="BO56" s="4"/>
      <c r="BP56" s="4"/>
      <c r="BQ56" s="4"/>
      <c r="BR56" s="4"/>
      <c r="BS56" s="4"/>
      <c r="BT56" s="22"/>
      <c r="BU56" s="24"/>
    </row>
    <row r="57" spans="1:73" ht="73.5" customHeight="1" outlineLevel="2">
      <c r="A57" s="19" t="s">
        <v>272</v>
      </c>
      <c r="B57" s="26" t="s">
        <v>74</v>
      </c>
      <c r="C57" s="2">
        <f t="shared" si="2"/>
        <v>2594.91834</v>
      </c>
      <c r="D57" s="1">
        <f t="shared" si="0"/>
        <v>368.13609</v>
      </c>
      <c r="E57" s="1">
        <f t="shared" si="1"/>
        <v>2226.78225</v>
      </c>
      <c r="F57" s="22"/>
      <c r="G57" s="22"/>
      <c r="H57" s="22"/>
      <c r="I57" s="22"/>
      <c r="J57" s="22"/>
      <c r="K57" s="22"/>
      <c r="L57" s="22"/>
      <c r="M57" s="22"/>
      <c r="N57" s="4"/>
      <c r="O57" s="4"/>
      <c r="P57" s="4">
        <v>4.00006</v>
      </c>
      <c r="Q57" s="4"/>
      <c r="R57" s="4"/>
      <c r="S57" s="22"/>
      <c r="T57" s="22"/>
      <c r="U57" s="22"/>
      <c r="V57" s="22"/>
      <c r="W57" s="22"/>
      <c r="X57" s="22"/>
      <c r="Y57" s="22"/>
      <c r="Z57" s="4"/>
      <c r="AA57" s="4"/>
      <c r="AB57" s="23">
        <v>155.44578</v>
      </c>
      <c r="AC57" s="4">
        <v>61.06993</v>
      </c>
      <c r="AD57" s="22"/>
      <c r="AE57" s="22"/>
      <c r="AF57" s="22"/>
      <c r="AG57" s="22"/>
      <c r="AH57" s="20">
        <v>28.84256</v>
      </c>
      <c r="AI57" s="4"/>
      <c r="AJ57" s="20">
        <v>28.84256</v>
      </c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4"/>
      <c r="BA57" s="4"/>
      <c r="BB57" s="4"/>
      <c r="BC57" s="22"/>
      <c r="BD57" s="22"/>
      <c r="BE57" s="22"/>
      <c r="BF57" s="22">
        <v>212.69031</v>
      </c>
      <c r="BG57" s="4">
        <v>132.8697</v>
      </c>
      <c r="BH57" s="4"/>
      <c r="BI57" s="22"/>
      <c r="BJ57" s="22"/>
      <c r="BK57" s="22"/>
      <c r="BL57" s="22"/>
      <c r="BM57" s="22"/>
      <c r="BN57" s="22">
        <v>2000</v>
      </c>
      <c r="BO57" s="4"/>
      <c r="BP57" s="4"/>
      <c r="BQ57" s="4"/>
      <c r="BR57" s="4"/>
      <c r="BS57" s="4"/>
      <c r="BT57" s="22"/>
      <c r="BU57" s="24"/>
    </row>
    <row r="58" spans="1:73" ht="73.5" customHeight="1" outlineLevel="2">
      <c r="A58" s="25" t="s">
        <v>272</v>
      </c>
      <c r="B58" s="26" t="s">
        <v>406</v>
      </c>
      <c r="C58" s="2">
        <f t="shared" si="2"/>
        <v>4.50665</v>
      </c>
      <c r="D58" s="1">
        <f t="shared" si="0"/>
        <v>0</v>
      </c>
      <c r="E58" s="1">
        <f t="shared" si="1"/>
        <v>4.50665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23"/>
      <c r="AC58" s="4"/>
      <c r="AD58" s="4"/>
      <c r="AE58" s="4"/>
      <c r="AF58" s="4"/>
      <c r="AG58" s="4"/>
      <c r="AH58" s="20">
        <v>4.50665</v>
      </c>
      <c r="AI58" s="4"/>
      <c r="AJ58" s="20">
        <v>4.50665</v>
      </c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22"/>
      <c r="BU58" s="16"/>
    </row>
    <row r="59" spans="1:73" ht="73.5" customHeight="1" outlineLevel="2">
      <c r="A59" s="25" t="s">
        <v>272</v>
      </c>
      <c r="B59" s="26" t="s">
        <v>528</v>
      </c>
      <c r="C59" s="2">
        <f t="shared" si="2"/>
        <v>33.61282</v>
      </c>
      <c r="D59" s="1">
        <f t="shared" si="0"/>
        <v>21.605980000000002</v>
      </c>
      <c r="E59" s="1">
        <f t="shared" si="1"/>
        <v>12.00684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23">
        <v>10.22935</v>
      </c>
      <c r="AC59" s="4">
        <v>4.89492</v>
      </c>
      <c r="AD59" s="4"/>
      <c r="AE59" s="4"/>
      <c r="AF59" s="4"/>
      <c r="AG59" s="4"/>
      <c r="AH59" s="20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>
        <v>11.37663</v>
      </c>
      <c r="BG59" s="4">
        <v>7.11192</v>
      </c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22"/>
      <c r="BU59" s="16"/>
    </row>
    <row r="60" spans="1:73" ht="73.5" customHeight="1" outlineLevel="2">
      <c r="A60" s="25" t="s">
        <v>272</v>
      </c>
      <c r="B60" s="26" t="s">
        <v>367</v>
      </c>
      <c r="C60" s="2">
        <f t="shared" si="2"/>
        <v>532.50773</v>
      </c>
      <c r="D60" s="1">
        <f t="shared" si="0"/>
        <v>231.39161000000001</v>
      </c>
      <c r="E60" s="1">
        <f t="shared" si="1"/>
        <v>301.11612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23">
        <v>73.09549</v>
      </c>
      <c r="AC60" s="4">
        <v>42.42262</v>
      </c>
      <c r="AD60" s="4"/>
      <c r="AE60" s="4"/>
      <c r="AF60" s="4"/>
      <c r="AG60" s="4"/>
      <c r="AH60" s="20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>
        <v>118.54955</v>
      </c>
      <c r="BE60" s="4">
        <v>41.2</v>
      </c>
      <c r="BF60" s="4">
        <v>158.29612</v>
      </c>
      <c r="BG60" s="4">
        <v>98.94395</v>
      </c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22"/>
      <c r="BU60" s="16"/>
    </row>
    <row r="61" spans="1:73" ht="73.5" customHeight="1" outlineLevel="2">
      <c r="A61" s="25" t="s">
        <v>272</v>
      </c>
      <c r="B61" s="25" t="s">
        <v>526</v>
      </c>
      <c r="C61" s="2">
        <f t="shared" si="2"/>
        <v>1739.7215000000003</v>
      </c>
      <c r="D61" s="1">
        <f t="shared" si="0"/>
        <v>390.26916</v>
      </c>
      <c r="E61" s="1">
        <f t="shared" si="1"/>
        <v>1349.4523400000003</v>
      </c>
      <c r="F61" s="22"/>
      <c r="G61" s="22"/>
      <c r="H61" s="22"/>
      <c r="I61" s="22"/>
      <c r="J61" s="22"/>
      <c r="K61" s="22"/>
      <c r="L61" s="22"/>
      <c r="M61" s="22"/>
      <c r="N61" s="4"/>
      <c r="O61" s="4"/>
      <c r="P61" s="4"/>
      <c r="Q61" s="4"/>
      <c r="R61" s="4"/>
      <c r="S61" s="22"/>
      <c r="T61" s="22"/>
      <c r="U61" s="22"/>
      <c r="V61" s="22"/>
      <c r="W61" s="22"/>
      <c r="X61" s="22"/>
      <c r="Y61" s="22"/>
      <c r="Z61" s="4"/>
      <c r="AA61" s="4">
        <v>35.478</v>
      </c>
      <c r="AB61" s="23">
        <v>135.5473</v>
      </c>
      <c r="AC61" s="4">
        <v>62.93466</v>
      </c>
      <c r="AD61" s="22"/>
      <c r="AE61" s="22"/>
      <c r="AF61" s="22"/>
      <c r="AG61" s="22"/>
      <c r="AH61" s="20">
        <f>38.75719+61.8332</f>
        <v>100.59039</v>
      </c>
      <c r="AI61" s="4">
        <v>61.8332</v>
      </c>
      <c r="AJ61" s="22">
        <v>38.75719</v>
      </c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4"/>
      <c r="BA61" s="4"/>
      <c r="BB61" s="4"/>
      <c r="BC61" s="22"/>
      <c r="BD61" s="22">
        <f>305.1706+583.5483</f>
        <v>888.7189000000001</v>
      </c>
      <c r="BE61" s="22">
        <v>102.43</v>
      </c>
      <c r="BF61" s="22">
        <v>254.72186</v>
      </c>
      <c r="BG61" s="4">
        <v>159.30039</v>
      </c>
      <c r="BH61" s="4"/>
      <c r="BI61" s="22"/>
      <c r="BJ61" s="22"/>
      <c r="BK61" s="22"/>
      <c r="BL61" s="22"/>
      <c r="BM61" s="22"/>
      <c r="BN61" s="22"/>
      <c r="BO61" s="4"/>
      <c r="BP61" s="4"/>
      <c r="BQ61" s="4"/>
      <c r="BR61" s="4"/>
      <c r="BS61" s="4"/>
      <c r="BT61" s="22"/>
      <c r="BU61" s="24"/>
    </row>
    <row r="62" spans="1:73" ht="73.5" customHeight="1" outlineLevel="2">
      <c r="A62" s="25" t="s">
        <v>272</v>
      </c>
      <c r="B62" s="25" t="s">
        <v>524</v>
      </c>
      <c r="C62" s="2">
        <f t="shared" si="2"/>
        <v>491.17069000000004</v>
      </c>
      <c r="D62" s="1">
        <f t="shared" si="0"/>
        <v>289.74724000000003</v>
      </c>
      <c r="E62" s="1">
        <f t="shared" si="1"/>
        <v>201.42345</v>
      </c>
      <c r="F62" s="22"/>
      <c r="G62" s="22"/>
      <c r="H62" s="22"/>
      <c r="I62" s="22"/>
      <c r="J62" s="22"/>
      <c r="K62" s="22"/>
      <c r="L62" s="22"/>
      <c r="M62" s="22"/>
      <c r="N62" s="4"/>
      <c r="O62" s="4"/>
      <c r="P62" s="4"/>
      <c r="Q62" s="4"/>
      <c r="R62" s="4"/>
      <c r="S62" s="22"/>
      <c r="T62" s="22"/>
      <c r="U62" s="22"/>
      <c r="V62" s="22"/>
      <c r="W62" s="22"/>
      <c r="X62" s="22"/>
      <c r="Y62" s="22"/>
      <c r="Z62" s="4"/>
      <c r="AA62" s="4">
        <v>18.063</v>
      </c>
      <c r="AB62" s="23">
        <v>94.16172</v>
      </c>
      <c r="AC62" s="4">
        <v>61.06993</v>
      </c>
      <c r="AD62" s="22"/>
      <c r="AE62" s="22"/>
      <c r="AF62" s="22"/>
      <c r="AG62" s="22"/>
      <c r="AH62" s="20"/>
      <c r="AI62" s="4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4"/>
      <c r="BA62" s="4"/>
      <c r="BB62" s="4"/>
      <c r="BC62" s="22"/>
      <c r="BD62" s="22"/>
      <c r="BE62" s="22"/>
      <c r="BF62" s="22">
        <v>195.58552</v>
      </c>
      <c r="BG62" s="4">
        <v>122.29052</v>
      </c>
      <c r="BH62" s="4"/>
      <c r="BI62" s="22"/>
      <c r="BJ62" s="22"/>
      <c r="BK62" s="22"/>
      <c r="BL62" s="22"/>
      <c r="BM62" s="22"/>
      <c r="BN62" s="22"/>
      <c r="BO62" s="4"/>
      <c r="BP62" s="4"/>
      <c r="BQ62" s="4"/>
      <c r="BR62" s="4"/>
      <c r="BS62" s="4"/>
      <c r="BT62" s="22"/>
      <c r="BU62" s="24"/>
    </row>
    <row r="63" spans="1:73" ht="73.5" customHeight="1" outlineLevel="2">
      <c r="A63" s="25" t="s">
        <v>272</v>
      </c>
      <c r="B63" s="25" t="s">
        <v>266</v>
      </c>
      <c r="C63" s="2">
        <f t="shared" si="2"/>
        <v>566.40641</v>
      </c>
      <c r="D63" s="1">
        <f t="shared" si="0"/>
        <v>173.60237999999998</v>
      </c>
      <c r="E63" s="1">
        <f t="shared" si="1"/>
        <v>392.80403</v>
      </c>
      <c r="F63" s="22"/>
      <c r="G63" s="22"/>
      <c r="H63" s="22"/>
      <c r="I63" s="22"/>
      <c r="J63" s="22"/>
      <c r="K63" s="22"/>
      <c r="L63" s="22">
        <f>257.59765+30.14183</f>
        <v>287.73947999999996</v>
      </c>
      <c r="M63" s="22"/>
      <c r="N63" s="4"/>
      <c r="O63" s="4"/>
      <c r="P63" s="4"/>
      <c r="Q63" s="4"/>
      <c r="R63" s="4"/>
      <c r="S63" s="22"/>
      <c r="T63" s="22"/>
      <c r="U63" s="22"/>
      <c r="V63" s="22"/>
      <c r="W63" s="22"/>
      <c r="X63" s="22"/>
      <c r="Y63" s="22"/>
      <c r="Z63" s="4"/>
      <c r="AA63" s="4"/>
      <c r="AB63" s="23">
        <v>82.67381</v>
      </c>
      <c r="AC63" s="4">
        <v>33.79824</v>
      </c>
      <c r="AD63" s="22"/>
      <c r="AE63" s="22"/>
      <c r="AF63" s="22"/>
      <c r="AG63" s="22"/>
      <c r="AH63" s="20">
        <v>14.42128</v>
      </c>
      <c r="AI63" s="4"/>
      <c r="AJ63" s="20">
        <v>14.42128</v>
      </c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4"/>
      <c r="BA63" s="4"/>
      <c r="BB63" s="4"/>
      <c r="BC63" s="22"/>
      <c r="BD63" s="22"/>
      <c r="BE63" s="22"/>
      <c r="BF63" s="22">
        <v>90.92857</v>
      </c>
      <c r="BG63" s="4">
        <v>56.84503</v>
      </c>
      <c r="BH63" s="4"/>
      <c r="BI63" s="22"/>
      <c r="BJ63" s="22"/>
      <c r="BK63" s="22"/>
      <c r="BL63" s="22"/>
      <c r="BM63" s="22"/>
      <c r="BN63" s="22"/>
      <c r="BO63" s="4"/>
      <c r="BP63" s="4"/>
      <c r="BQ63" s="4"/>
      <c r="BR63" s="4"/>
      <c r="BS63" s="4"/>
      <c r="BT63" s="22"/>
      <c r="BU63" s="24"/>
    </row>
    <row r="64" spans="1:73" ht="73.5" customHeight="1" outlineLevel="2">
      <c r="A64" s="19" t="s">
        <v>272</v>
      </c>
      <c r="B64" s="19" t="s">
        <v>525</v>
      </c>
      <c r="C64" s="2">
        <f t="shared" si="2"/>
        <v>72.01431</v>
      </c>
      <c r="D64" s="1">
        <f t="shared" si="0"/>
        <v>38.53409</v>
      </c>
      <c r="E64" s="1">
        <f t="shared" si="1"/>
        <v>33.48022</v>
      </c>
      <c r="F64" s="22"/>
      <c r="G64" s="22"/>
      <c r="H64" s="22"/>
      <c r="I64" s="22"/>
      <c r="J64" s="22"/>
      <c r="K64" s="22"/>
      <c r="L64" s="22"/>
      <c r="M64" s="22"/>
      <c r="N64" s="4"/>
      <c r="O64" s="4"/>
      <c r="P64" s="4"/>
      <c r="Q64" s="4"/>
      <c r="R64" s="4"/>
      <c r="S64" s="22"/>
      <c r="T64" s="22"/>
      <c r="U64" s="22"/>
      <c r="V64" s="22"/>
      <c r="W64" s="22"/>
      <c r="X64" s="22"/>
      <c r="Y64" s="22"/>
      <c r="Z64" s="22"/>
      <c r="AA64" s="4">
        <v>4.779</v>
      </c>
      <c r="AB64" s="23">
        <v>16.75177</v>
      </c>
      <c r="AC64" s="4">
        <v>8.85747</v>
      </c>
      <c r="AD64" s="22"/>
      <c r="AE64" s="22"/>
      <c r="AF64" s="22"/>
      <c r="AG64" s="22"/>
      <c r="AH64" s="20">
        <f>3.60532+2.62455</f>
        <v>6.22987</v>
      </c>
      <c r="AI64" s="4">
        <v>2.62455</v>
      </c>
      <c r="AJ64" s="22">
        <v>3.60532</v>
      </c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4"/>
      <c r="BA64" s="4"/>
      <c r="BB64" s="4"/>
      <c r="BC64" s="22"/>
      <c r="BD64" s="22"/>
      <c r="BE64" s="22"/>
      <c r="BF64" s="22">
        <v>21.78232</v>
      </c>
      <c r="BG64" s="4">
        <v>13.61388</v>
      </c>
      <c r="BH64" s="4"/>
      <c r="BI64" s="22"/>
      <c r="BJ64" s="22"/>
      <c r="BK64" s="22"/>
      <c r="BL64" s="22"/>
      <c r="BM64" s="22"/>
      <c r="BN64" s="22"/>
      <c r="BO64" s="4"/>
      <c r="BP64" s="4"/>
      <c r="BQ64" s="4"/>
      <c r="BR64" s="4"/>
      <c r="BS64" s="4"/>
      <c r="BT64" s="22"/>
      <c r="BU64" s="24"/>
    </row>
    <row r="65" spans="1:73" ht="73.5" customHeight="1" outlineLevel="2">
      <c r="A65" s="25" t="s">
        <v>272</v>
      </c>
      <c r="B65" s="25" t="s">
        <v>527</v>
      </c>
      <c r="C65" s="2">
        <f t="shared" si="2"/>
        <v>771.31466</v>
      </c>
      <c r="D65" s="1">
        <f t="shared" si="0"/>
        <v>446.78931</v>
      </c>
      <c r="E65" s="1">
        <f t="shared" si="1"/>
        <v>324.52535</v>
      </c>
      <c r="F65" s="22"/>
      <c r="G65" s="22"/>
      <c r="H65" s="22"/>
      <c r="I65" s="22"/>
      <c r="J65" s="22"/>
      <c r="K65" s="22"/>
      <c r="L65" s="22">
        <v>125.72503</v>
      </c>
      <c r="M65" s="22"/>
      <c r="N65" s="4"/>
      <c r="O65" s="4"/>
      <c r="P65" s="4"/>
      <c r="Q65" s="4"/>
      <c r="R65" s="4"/>
      <c r="S65" s="22"/>
      <c r="T65" s="22"/>
      <c r="U65" s="22"/>
      <c r="V65" s="22"/>
      <c r="W65" s="22"/>
      <c r="X65" s="22"/>
      <c r="Y65" s="22"/>
      <c r="Z65" s="4"/>
      <c r="AA65" s="4"/>
      <c r="AB65" s="23">
        <v>310.25634</v>
      </c>
      <c r="AC65" s="4">
        <v>76.22086</v>
      </c>
      <c r="AD65" s="22"/>
      <c r="AE65" s="22"/>
      <c r="AF65" s="22"/>
      <c r="AG65" s="22"/>
      <c r="AH65" s="20">
        <f>21.63192+15.7473</f>
        <v>37.379220000000004</v>
      </c>
      <c r="AI65" s="4">
        <v>15.7473</v>
      </c>
      <c r="AJ65" s="22">
        <v>21.63192</v>
      </c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4"/>
      <c r="BA65" s="4"/>
      <c r="BB65" s="4"/>
      <c r="BC65" s="22"/>
      <c r="BD65" s="22"/>
      <c r="BE65" s="22"/>
      <c r="BF65" s="22">
        <v>136.53297</v>
      </c>
      <c r="BG65" s="4">
        <v>85.20024</v>
      </c>
      <c r="BH65" s="4"/>
      <c r="BI65" s="22"/>
      <c r="BJ65" s="22"/>
      <c r="BK65" s="22"/>
      <c r="BL65" s="22"/>
      <c r="BM65" s="22"/>
      <c r="BN65" s="22"/>
      <c r="BO65" s="4"/>
      <c r="BP65" s="4"/>
      <c r="BQ65" s="4"/>
      <c r="BR65" s="4"/>
      <c r="BS65" s="4"/>
      <c r="BT65" s="22"/>
      <c r="BU65" s="24"/>
    </row>
    <row r="66" spans="1:73" ht="73.5" customHeight="1" outlineLevel="2">
      <c r="A66" s="19" t="s">
        <v>272</v>
      </c>
      <c r="B66" s="19" t="s">
        <v>179</v>
      </c>
      <c r="C66" s="2">
        <f t="shared" si="2"/>
        <v>144.22026</v>
      </c>
      <c r="D66" s="1">
        <f t="shared" si="0"/>
        <v>0</v>
      </c>
      <c r="E66" s="1">
        <f t="shared" si="1"/>
        <v>144.22026</v>
      </c>
      <c r="F66" s="22"/>
      <c r="G66" s="22"/>
      <c r="H66" s="22"/>
      <c r="I66" s="22"/>
      <c r="J66" s="22"/>
      <c r="K66" s="22"/>
      <c r="L66" s="22"/>
      <c r="M66" s="22"/>
      <c r="N66" s="4"/>
      <c r="O66" s="4"/>
      <c r="P66" s="4"/>
      <c r="Q66" s="4"/>
      <c r="R66" s="4"/>
      <c r="S66" s="22"/>
      <c r="T66" s="22"/>
      <c r="U66" s="22"/>
      <c r="V66" s="22"/>
      <c r="W66" s="22"/>
      <c r="X66" s="22"/>
      <c r="Y66" s="22"/>
      <c r="Z66" s="22"/>
      <c r="AA66" s="4"/>
      <c r="AB66" s="4"/>
      <c r="AC66" s="4"/>
      <c r="AD66" s="22"/>
      <c r="AE66" s="22"/>
      <c r="AF66" s="22"/>
      <c r="AG66" s="22"/>
      <c r="AH66" s="20"/>
      <c r="AI66" s="4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4"/>
      <c r="BA66" s="4"/>
      <c r="BB66" s="4"/>
      <c r="BC66" s="22"/>
      <c r="BD66" s="22"/>
      <c r="BE66" s="22"/>
      <c r="BF66" s="22"/>
      <c r="BG66" s="4"/>
      <c r="BH66" s="4"/>
      <c r="BI66" s="22"/>
      <c r="BJ66" s="22"/>
      <c r="BK66" s="22"/>
      <c r="BL66" s="22"/>
      <c r="BM66" s="22">
        <v>144.22026</v>
      </c>
      <c r="BN66" s="22"/>
      <c r="BO66" s="4"/>
      <c r="BP66" s="4"/>
      <c r="BQ66" s="4"/>
      <c r="BR66" s="4"/>
      <c r="BS66" s="4"/>
      <c r="BT66" s="22"/>
      <c r="BU66" s="24"/>
    </row>
    <row r="67" spans="1:73" ht="73.5" customHeight="1" outlineLevel="2">
      <c r="A67" s="19" t="s">
        <v>272</v>
      </c>
      <c r="B67" s="19" t="s">
        <v>556</v>
      </c>
      <c r="C67" s="2">
        <f t="shared" si="2"/>
        <v>20614.168680000002</v>
      </c>
      <c r="D67" s="1">
        <f t="shared" si="0"/>
        <v>11895.06074</v>
      </c>
      <c r="E67" s="1">
        <f t="shared" si="1"/>
        <v>8719.10794</v>
      </c>
      <c r="F67" s="22"/>
      <c r="G67" s="22"/>
      <c r="H67" s="22"/>
      <c r="I67" s="22"/>
      <c r="J67" s="22">
        <v>78.64561</v>
      </c>
      <c r="K67" s="22">
        <v>33.04383</v>
      </c>
      <c r="L67" s="22">
        <f>47.19429+3.71785</f>
        <v>50.91214</v>
      </c>
      <c r="M67" s="22"/>
      <c r="N67" s="4">
        <v>136.66673</v>
      </c>
      <c r="O67" s="4">
        <v>6.2756</v>
      </c>
      <c r="P67" s="4"/>
      <c r="Q67" s="4"/>
      <c r="R67" s="4"/>
      <c r="S67" s="22"/>
      <c r="T67" s="22"/>
      <c r="U67" s="22"/>
      <c r="V67" s="22"/>
      <c r="W67" s="22"/>
      <c r="X67" s="22"/>
      <c r="Y67" s="22"/>
      <c r="Z67" s="22"/>
      <c r="AA67" s="4"/>
      <c r="AB67" s="4"/>
      <c r="AC67" s="4"/>
      <c r="AD67" s="22"/>
      <c r="AE67" s="22"/>
      <c r="AF67" s="22"/>
      <c r="AG67" s="22"/>
      <c r="AH67" s="20"/>
      <c r="AI67" s="4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4"/>
      <c r="BA67" s="4"/>
      <c r="BB67" s="4"/>
      <c r="BC67" s="22"/>
      <c r="BD67" s="22">
        <v>227.15105</v>
      </c>
      <c r="BE67" s="22"/>
      <c r="BF67" s="22"/>
      <c r="BG67" s="4"/>
      <c r="BH67" s="4"/>
      <c r="BI67" s="22"/>
      <c r="BJ67" s="22"/>
      <c r="BK67" s="22"/>
      <c r="BL67" s="22"/>
      <c r="BM67" s="4">
        <v>1416.45372</v>
      </c>
      <c r="BN67" s="22"/>
      <c r="BO67" s="4"/>
      <c r="BP67" s="4"/>
      <c r="BQ67" s="4">
        <v>11679.7484</v>
      </c>
      <c r="BR67" s="4">
        <v>6985.2716</v>
      </c>
      <c r="BS67" s="4"/>
      <c r="BT67" s="22"/>
      <c r="BU67" s="24"/>
    </row>
    <row r="68" spans="1:73" ht="73.5" customHeight="1" outlineLevel="2">
      <c r="A68" s="19" t="s">
        <v>272</v>
      </c>
      <c r="B68" s="19" t="s">
        <v>779</v>
      </c>
      <c r="C68" s="2">
        <f t="shared" si="2"/>
        <v>1205.2643</v>
      </c>
      <c r="D68" s="1">
        <f t="shared" si="0"/>
        <v>0</v>
      </c>
      <c r="E68" s="1">
        <f t="shared" si="1"/>
        <v>1205.2643</v>
      </c>
      <c r="F68" s="22"/>
      <c r="G68" s="22"/>
      <c r="H68" s="22"/>
      <c r="I68" s="22"/>
      <c r="J68" s="22"/>
      <c r="K68" s="22"/>
      <c r="L68" s="22"/>
      <c r="M68" s="22"/>
      <c r="N68" s="4"/>
      <c r="O68" s="4"/>
      <c r="P68" s="4"/>
      <c r="Q68" s="4"/>
      <c r="R68" s="4"/>
      <c r="S68" s="22"/>
      <c r="T68" s="22"/>
      <c r="U68" s="22"/>
      <c r="V68" s="22"/>
      <c r="W68" s="22"/>
      <c r="X68" s="22"/>
      <c r="Y68" s="22"/>
      <c r="Z68" s="22"/>
      <c r="AA68" s="4"/>
      <c r="AB68" s="4"/>
      <c r="AC68" s="4"/>
      <c r="AD68" s="22"/>
      <c r="AE68" s="22"/>
      <c r="AF68" s="22"/>
      <c r="AG68" s="22"/>
      <c r="AH68" s="20"/>
      <c r="AI68" s="4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4"/>
      <c r="BA68" s="4"/>
      <c r="BB68" s="4"/>
      <c r="BC68" s="22"/>
      <c r="BD68" s="22"/>
      <c r="BE68" s="22"/>
      <c r="BF68" s="22"/>
      <c r="BG68" s="4"/>
      <c r="BH68" s="4"/>
      <c r="BI68" s="22"/>
      <c r="BJ68" s="22"/>
      <c r="BK68" s="22"/>
      <c r="BL68" s="22"/>
      <c r="BM68" s="4">
        <v>1205.2643</v>
      </c>
      <c r="BN68" s="22"/>
      <c r="BO68" s="4"/>
      <c r="BP68" s="4"/>
      <c r="BQ68" s="4"/>
      <c r="BR68" s="4"/>
      <c r="BS68" s="4"/>
      <c r="BT68" s="22"/>
      <c r="BU68" s="24"/>
    </row>
    <row r="69" spans="1:73" ht="73.5" customHeight="1" outlineLevel="2" thickBot="1">
      <c r="A69" s="19" t="s">
        <v>272</v>
      </c>
      <c r="B69" s="19" t="s">
        <v>125</v>
      </c>
      <c r="C69" s="2">
        <f t="shared" si="2"/>
        <v>886.74986</v>
      </c>
      <c r="D69" s="1">
        <f t="shared" si="0"/>
        <v>0</v>
      </c>
      <c r="E69" s="1">
        <f t="shared" si="1"/>
        <v>886.74986</v>
      </c>
      <c r="F69" s="22"/>
      <c r="G69" s="22"/>
      <c r="H69" s="22"/>
      <c r="I69" s="22"/>
      <c r="J69" s="22"/>
      <c r="K69" s="22"/>
      <c r="L69" s="22"/>
      <c r="M69" s="22"/>
      <c r="N69" s="4"/>
      <c r="O69" s="4"/>
      <c r="P69" s="4"/>
      <c r="Q69" s="4"/>
      <c r="R69" s="4"/>
      <c r="S69" s="22"/>
      <c r="T69" s="22"/>
      <c r="U69" s="22"/>
      <c r="V69" s="22"/>
      <c r="W69" s="22"/>
      <c r="X69" s="22"/>
      <c r="Y69" s="22"/>
      <c r="Z69" s="22"/>
      <c r="AA69" s="4"/>
      <c r="AB69" s="4"/>
      <c r="AC69" s="4"/>
      <c r="AD69" s="22"/>
      <c r="AE69" s="22"/>
      <c r="AF69" s="22"/>
      <c r="AG69" s="22"/>
      <c r="AH69" s="20"/>
      <c r="AI69" s="4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4"/>
      <c r="BA69" s="4"/>
      <c r="BB69" s="4"/>
      <c r="BC69" s="22"/>
      <c r="BD69" s="22"/>
      <c r="BE69" s="22"/>
      <c r="BF69" s="22"/>
      <c r="BG69" s="4"/>
      <c r="BH69" s="4"/>
      <c r="BI69" s="22"/>
      <c r="BJ69" s="22"/>
      <c r="BK69" s="22"/>
      <c r="BL69" s="22"/>
      <c r="BM69" s="22">
        <v>886.74986</v>
      </c>
      <c r="BN69" s="22"/>
      <c r="BO69" s="4"/>
      <c r="BP69" s="4"/>
      <c r="BQ69" s="4"/>
      <c r="BR69" s="4"/>
      <c r="BS69" s="4"/>
      <c r="BT69" s="22"/>
      <c r="BU69" s="24"/>
    </row>
    <row r="70" spans="1:74" s="35" customFormat="1" ht="73.5" customHeight="1" outlineLevel="1" thickBot="1">
      <c r="A70" s="29" t="s">
        <v>144</v>
      </c>
      <c r="B70" s="30"/>
      <c r="C70" s="31">
        <f aca="true" t="shared" si="3" ref="C70:BN70">SUBTOTAL(9,C8:C69)</f>
        <v>122692.8258</v>
      </c>
      <c r="D70" s="31">
        <f t="shared" si="3"/>
        <v>47745.238410000005</v>
      </c>
      <c r="E70" s="31">
        <f t="shared" si="3"/>
        <v>74947.58738999999</v>
      </c>
      <c r="F70" s="31">
        <f t="shared" si="3"/>
        <v>0</v>
      </c>
      <c r="G70" s="31">
        <f t="shared" si="3"/>
        <v>0</v>
      </c>
      <c r="H70" s="31">
        <f t="shared" si="3"/>
        <v>2277.3157</v>
      </c>
      <c r="I70" s="31">
        <f t="shared" si="3"/>
        <v>1347.04691</v>
      </c>
      <c r="J70" s="31">
        <f t="shared" si="3"/>
        <v>740.76972</v>
      </c>
      <c r="K70" s="31">
        <f t="shared" si="3"/>
        <v>249.57805000000002</v>
      </c>
      <c r="L70" s="31">
        <f t="shared" si="3"/>
        <v>5946.8635699999995</v>
      </c>
      <c r="M70" s="31">
        <f t="shared" si="3"/>
        <v>20052.67616</v>
      </c>
      <c r="N70" s="31">
        <f t="shared" si="3"/>
        <v>225.32628</v>
      </c>
      <c r="O70" s="31">
        <f t="shared" si="3"/>
        <v>10.15091</v>
      </c>
      <c r="P70" s="31">
        <f t="shared" si="3"/>
        <v>4.00006</v>
      </c>
      <c r="Q70" s="31">
        <f t="shared" si="3"/>
        <v>0</v>
      </c>
      <c r="R70" s="31">
        <f t="shared" si="3"/>
        <v>2111.11276</v>
      </c>
      <c r="S70" s="31">
        <f t="shared" si="3"/>
        <v>993.1524499999999</v>
      </c>
      <c r="T70" s="31">
        <f t="shared" si="3"/>
        <v>0</v>
      </c>
      <c r="U70" s="31">
        <f t="shared" si="3"/>
        <v>0</v>
      </c>
      <c r="V70" s="31">
        <f t="shared" si="3"/>
        <v>0</v>
      </c>
      <c r="W70" s="31">
        <f t="shared" si="3"/>
        <v>0</v>
      </c>
      <c r="X70" s="31">
        <f t="shared" si="3"/>
        <v>0</v>
      </c>
      <c r="Y70" s="31">
        <f t="shared" si="3"/>
        <v>0</v>
      </c>
      <c r="Z70" s="31">
        <f t="shared" si="3"/>
        <v>577.0672900000001</v>
      </c>
      <c r="AA70" s="31">
        <f t="shared" si="3"/>
        <v>615.7124999999999</v>
      </c>
      <c r="AB70" s="31">
        <f t="shared" si="3"/>
        <v>10606.045590000002</v>
      </c>
      <c r="AC70" s="31">
        <f t="shared" si="3"/>
        <v>4069.7744500000013</v>
      </c>
      <c r="AD70" s="31">
        <f t="shared" si="3"/>
        <v>0</v>
      </c>
      <c r="AE70" s="31">
        <f t="shared" si="3"/>
        <v>0</v>
      </c>
      <c r="AF70" s="31">
        <f t="shared" si="3"/>
        <v>0</v>
      </c>
      <c r="AG70" s="31">
        <f t="shared" si="3"/>
        <v>0</v>
      </c>
      <c r="AH70" s="31">
        <f t="shared" si="3"/>
        <v>4519.534589999999</v>
      </c>
      <c r="AI70" s="31">
        <f t="shared" si="3"/>
        <v>2410.7664999999997</v>
      </c>
      <c r="AJ70" s="31">
        <f t="shared" si="3"/>
        <v>2108.76809</v>
      </c>
      <c r="AK70" s="31">
        <f t="shared" si="3"/>
        <v>0</v>
      </c>
      <c r="AL70" s="31">
        <f t="shared" si="3"/>
        <v>0</v>
      </c>
      <c r="AM70" s="31">
        <f t="shared" si="3"/>
        <v>0</v>
      </c>
      <c r="AN70" s="31">
        <f t="shared" si="3"/>
        <v>0</v>
      </c>
      <c r="AO70" s="31">
        <f t="shared" si="3"/>
        <v>0</v>
      </c>
      <c r="AP70" s="31">
        <f t="shared" si="3"/>
        <v>0</v>
      </c>
      <c r="AQ70" s="31">
        <f t="shared" si="3"/>
        <v>0</v>
      </c>
      <c r="AR70" s="31">
        <f t="shared" si="3"/>
        <v>0</v>
      </c>
      <c r="AS70" s="31">
        <f t="shared" si="3"/>
        <v>0</v>
      </c>
      <c r="AT70" s="31">
        <f t="shared" si="3"/>
        <v>0</v>
      </c>
      <c r="AU70" s="31">
        <f t="shared" si="3"/>
        <v>0</v>
      </c>
      <c r="AV70" s="31">
        <f t="shared" si="3"/>
        <v>0</v>
      </c>
      <c r="AW70" s="31">
        <f t="shared" si="3"/>
        <v>108</v>
      </c>
      <c r="AX70" s="31">
        <f t="shared" si="3"/>
        <v>1322.88</v>
      </c>
      <c r="AY70" s="31">
        <f t="shared" si="3"/>
        <v>5426.95722</v>
      </c>
      <c r="AZ70" s="31">
        <f t="shared" si="3"/>
        <v>2816.17034</v>
      </c>
      <c r="BA70" s="31">
        <f t="shared" si="3"/>
        <v>0</v>
      </c>
      <c r="BB70" s="31">
        <f t="shared" si="3"/>
        <v>0</v>
      </c>
      <c r="BC70" s="31">
        <f t="shared" si="3"/>
        <v>0</v>
      </c>
      <c r="BD70" s="31">
        <f t="shared" si="3"/>
        <v>1862.7815</v>
      </c>
      <c r="BE70" s="31">
        <f t="shared" si="3"/>
        <v>7482.536370000001</v>
      </c>
      <c r="BF70" s="31">
        <f t="shared" si="3"/>
        <v>14100.895450000013</v>
      </c>
      <c r="BG70" s="31">
        <f t="shared" si="3"/>
        <v>8798.090710000002</v>
      </c>
      <c r="BH70" s="31">
        <f t="shared" si="3"/>
        <v>0</v>
      </c>
      <c r="BI70" s="31">
        <f t="shared" si="3"/>
        <v>0</v>
      </c>
      <c r="BJ70" s="31">
        <f t="shared" si="3"/>
        <v>2110.67908</v>
      </c>
      <c r="BK70" s="31">
        <f t="shared" si="3"/>
        <v>0</v>
      </c>
      <c r="BL70" s="31">
        <f t="shared" si="3"/>
        <v>0</v>
      </c>
      <c r="BM70" s="31">
        <f t="shared" si="3"/>
        <v>3652.68814</v>
      </c>
      <c r="BN70" s="31">
        <f t="shared" si="3"/>
        <v>2000</v>
      </c>
      <c r="BO70" s="31">
        <f aca="true" t="shared" si="4" ref="BO70:BT70">SUBTOTAL(9,BO8:BO69)</f>
        <v>0</v>
      </c>
      <c r="BP70" s="31">
        <f t="shared" si="4"/>
        <v>0</v>
      </c>
      <c r="BQ70" s="31">
        <f t="shared" si="4"/>
        <v>11679.7484</v>
      </c>
      <c r="BR70" s="31">
        <f t="shared" si="4"/>
        <v>6985.2716</v>
      </c>
      <c r="BS70" s="32">
        <f t="shared" si="4"/>
        <v>0</v>
      </c>
      <c r="BT70" s="32">
        <f t="shared" si="4"/>
        <v>0</v>
      </c>
      <c r="BU70" s="33"/>
      <c r="BV70" s="34"/>
    </row>
    <row r="71" spans="1:73" ht="73.5" customHeight="1" outlineLevel="2">
      <c r="A71" s="36" t="s">
        <v>145</v>
      </c>
      <c r="B71" s="37" t="s">
        <v>419</v>
      </c>
      <c r="C71" s="39">
        <f>D71+E71</f>
        <v>20648.28588</v>
      </c>
      <c r="D71" s="1">
        <f aca="true" t="shared" si="5" ref="D71:D86">F71+J71+N71+R71+T71+Z71+AB71+AD71+AF71+AM71+AO71+AT71+AY71+BF71+BO71+BS71+H71+V71+X71+BQ71+AR71+BH71</f>
        <v>11528.86888</v>
      </c>
      <c r="E71" s="1">
        <f aca="true" t="shared" si="6" ref="E71:E86">G71+I71+K71+L71+M71+O71+P71+Q71+S71+U71+W71+Y71+AA71+AC71+AE71+AG71+AH71+AK71+AL71+AN71+AP71+AQ71+AS71+AU71+AV71+AW71+AX71+AZ71+BA71+BB71+BC71+BD71+BE71+BG71+BI71+BJ71+BK71+BL71+BM71+BN71+BU71+BP71+BR71+BT71</f>
        <v>9119.417</v>
      </c>
      <c r="F71" s="40"/>
      <c r="G71" s="40"/>
      <c r="H71" s="40"/>
      <c r="I71" s="40"/>
      <c r="J71" s="40">
        <v>3560.43629</v>
      </c>
      <c r="K71" s="40">
        <v>3058.69741</v>
      </c>
      <c r="L71" s="40"/>
      <c r="M71" s="40"/>
      <c r="N71" s="41"/>
      <c r="O71" s="41"/>
      <c r="P71" s="41"/>
      <c r="Q71" s="41"/>
      <c r="R71" s="41"/>
      <c r="S71" s="40"/>
      <c r="T71" s="40"/>
      <c r="U71" s="40"/>
      <c r="V71" s="40"/>
      <c r="W71" s="40"/>
      <c r="X71" s="40"/>
      <c r="Y71" s="40"/>
      <c r="Z71" s="40">
        <v>139.00631</v>
      </c>
      <c r="AA71" s="41">
        <v>228.447</v>
      </c>
      <c r="AB71" s="42">
        <v>4422.38183</v>
      </c>
      <c r="AC71" s="41">
        <v>666.64117</v>
      </c>
      <c r="AD71" s="40"/>
      <c r="AE71" s="40"/>
      <c r="AF71" s="40"/>
      <c r="AG71" s="40"/>
      <c r="AH71" s="43">
        <f>196.48994+383.00715+67.4478+79.8114+912.63385</f>
        <v>1639.3901400000002</v>
      </c>
      <c r="AI71" s="41">
        <v>992.44525</v>
      </c>
      <c r="AJ71" s="40">
        <v>646.94489</v>
      </c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1"/>
      <c r="BA71" s="41"/>
      <c r="BB71" s="41"/>
      <c r="BC71" s="40"/>
      <c r="BD71" s="40">
        <v>1083.38504</v>
      </c>
      <c r="BE71" s="40">
        <v>313.79473</v>
      </c>
      <c r="BF71" s="40">
        <v>3407.04445</v>
      </c>
      <c r="BG71" s="40">
        <v>2129.06151</v>
      </c>
      <c r="BH71" s="40"/>
      <c r="BI71" s="40"/>
      <c r="BJ71" s="40"/>
      <c r="BK71" s="40"/>
      <c r="BL71" s="40"/>
      <c r="BM71" s="40"/>
      <c r="BN71" s="40"/>
      <c r="BO71" s="41"/>
      <c r="BP71" s="41"/>
      <c r="BQ71" s="41"/>
      <c r="BR71" s="41"/>
      <c r="BS71" s="4"/>
      <c r="BT71" s="22"/>
      <c r="BU71" s="24"/>
    </row>
    <row r="72" spans="1:73" ht="73.5" customHeight="1" outlineLevel="2">
      <c r="A72" s="44" t="s">
        <v>145</v>
      </c>
      <c r="B72" s="45" t="s">
        <v>749</v>
      </c>
      <c r="C72" s="39">
        <f>D72+E72</f>
        <v>220.06888</v>
      </c>
      <c r="D72" s="1">
        <f t="shared" si="5"/>
        <v>133.12886</v>
      </c>
      <c r="E72" s="1">
        <f t="shared" si="6"/>
        <v>86.94002</v>
      </c>
      <c r="F72" s="22"/>
      <c r="G72" s="22"/>
      <c r="H72" s="22"/>
      <c r="I72" s="22"/>
      <c r="J72" s="22"/>
      <c r="K72" s="22"/>
      <c r="L72" s="22"/>
      <c r="M72" s="2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22"/>
      <c r="AA72" s="22"/>
      <c r="AB72" s="23">
        <v>62.10683</v>
      </c>
      <c r="AC72" s="4">
        <v>26.22277</v>
      </c>
      <c r="AD72" s="22"/>
      <c r="AE72" s="22"/>
      <c r="AF72" s="22"/>
      <c r="AG72" s="22"/>
      <c r="AH72" s="20">
        <v>16.22394</v>
      </c>
      <c r="AI72" s="4"/>
      <c r="AJ72" s="20">
        <v>16.22394</v>
      </c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4"/>
      <c r="BA72" s="4"/>
      <c r="BB72" s="4"/>
      <c r="BC72" s="22"/>
      <c r="BD72" s="22"/>
      <c r="BE72" s="22"/>
      <c r="BF72" s="22">
        <v>71.02203</v>
      </c>
      <c r="BG72" s="22">
        <v>44.49331</v>
      </c>
      <c r="BH72" s="22"/>
      <c r="BI72" s="22"/>
      <c r="BJ72" s="22"/>
      <c r="BK72" s="22"/>
      <c r="BL72" s="22"/>
      <c r="BM72" s="22"/>
      <c r="BN72" s="22"/>
      <c r="BO72" s="4"/>
      <c r="BP72" s="4"/>
      <c r="BQ72" s="4"/>
      <c r="BR72" s="4"/>
      <c r="BS72" s="4"/>
      <c r="BT72" s="22"/>
      <c r="BU72" s="24"/>
    </row>
    <row r="73" spans="1:73" ht="73.5" customHeight="1" outlineLevel="2">
      <c r="A73" s="46" t="s">
        <v>145</v>
      </c>
      <c r="B73" s="45" t="s">
        <v>787</v>
      </c>
      <c r="C73" s="39">
        <f aca="true" t="shared" si="7" ref="C73:C86">D73+E73</f>
        <v>743.67404</v>
      </c>
      <c r="D73" s="1">
        <f t="shared" si="5"/>
        <v>380.78208</v>
      </c>
      <c r="E73" s="1">
        <f t="shared" si="6"/>
        <v>362.89196</v>
      </c>
      <c r="F73" s="22"/>
      <c r="G73" s="22"/>
      <c r="H73" s="22"/>
      <c r="I73" s="22"/>
      <c r="J73" s="22"/>
      <c r="K73" s="22"/>
      <c r="L73" s="22"/>
      <c r="M73" s="22"/>
      <c r="N73" s="4"/>
      <c r="O73" s="4"/>
      <c r="P73" s="4"/>
      <c r="Q73" s="4"/>
      <c r="R73" s="4"/>
      <c r="S73" s="22"/>
      <c r="T73" s="22"/>
      <c r="U73" s="22"/>
      <c r="V73" s="22">
        <v>380.78208</v>
      </c>
      <c r="W73" s="22">
        <v>204.46399</v>
      </c>
      <c r="X73" s="22"/>
      <c r="Y73" s="22"/>
      <c r="Z73" s="22"/>
      <c r="AA73" s="4"/>
      <c r="AB73" s="23"/>
      <c r="AC73" s="4"/>
      <c r="AD73" s="22"/>
      <c r="AE73" s="22"/>
      <c r="AF73" s="22"/>
      <c r="AG73" s="22"/>
      <c r="AH73" s="20"/>
      <c r="AI73" s="4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4"/>
      <c r="BA73" s="4"/>
      <c r="BB73" s="4"/>
      <c r="BC73" s="22"/>
      <c r="BD73" s="22"/>
      <c r="BE73" s="22">
        <v>158.42797</v>
      </c>
      <c r="BF73" s="22"/>
      <c r="BG73" s="22"/>
      <c r="BH73" s="22"/>
      <c r="BI73" s="22"/>
      <c r="BJ73" s="22"/>
      <c r="BK73" s="22"/>
      <c r="BL73" s="22"/>
      <c r="BM73" s="22"/>
      <c r="BN73" s="22"/>
      <c r="BO73" s="4"/>
      <c r="BP73" s="4"/>
      <c r="BQ73" s="4"/>
      <c r="BR73" s="4"/>
      <c r="BS73" s="4"/>
      <c r="BT73" s="22"/>
      <c r="BU73" s="24"/>
    </row>
    <row r="74" spans="1:73" ht="73.5" customHeight="1" outlineLevel="2">
      <c r="A74" s="46" t="s">
        <v>145</v>
      </c>
      <c r="B74" s="47" t="s">
        <v>621</v>
      </c>
      <c r="C74" s="39">
        <f t="shared" si="7"/>
        <v>213.93748</v>
      </c>
      <c r="D74" s="1">
        <f t="shared" si="5"/>
        <v>82.98887</v>
      </c>
      <c r="E74" s="1">
        <f t="shared" si="6"/>
        <v>130.94861</v>
      </c>
      <c r="F74" s="22"/>
      <c r="G74" s="22"/>
      <c r="H74" s="22"/>
      <c r="I74" s="22"/>
      <c r="J74" s="22"/>
      <c r="K74" s="22"/>
      <c r="L74" s="22"/>
      <c r="M74" s="22"/>
      <c r="N74" s="4"/>
      <c r="O74" s="4"/>
      <c r="P74" s="4"/>
      <c r="Q74" s="4"/>
      <c r="R74" s="4"/>
      <c r="S74" s="22"/>
      <c r="T74" s="22"/>
      <c r="U74" s="22"/>
      <c r="V74" s="22"/>
      <c r="W74" s="22"/>
      <c r="X74" s="22"/>
      <c r="Y74" s="22"/>
      <c r="Z74" s="22"/>
      <c r="AA74" s="4"/>
      <c r="AB74" s="23">
        <v>35.10858</v>
      </c>
      <c r="AC74" s="4">
        <v>14.45166</v>
      </c>
      <c r="AD74" s="22"/>
      <c r="AE74" s="22"/>
      <c r="AF74" s="22"/>
      <c r="AG74" s="22"/>
      <c r="AH74" s="20"/>
      <c r="AI74" s="4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>
        <v>41.6</v>
      </c>
      <c r="AY74" s="22"/>
      <c r="AZ74" s="4"/>
      <c r="BA74" s="4"/>
      <c r="BB74" s="4"/>
      <c r="BC74" s="22"/>
      <c r="BD74" s="22"/>
      <c r="BE74" s="22">
        <v>45</v>
      </c>
      <c r="BF74" s="22">
        <v>47.88029</v>
      </c>
      <c r="BG74" s="22">
        <v>29.89695</v>
      </c>
      <c r="BH74" s="22"/>
      <c r="BI74" s="22"/>
      <c r="BJ74" s="22"/>
      <c r="BK74" s="22"/>
      <c r="BL74" s="22"/>
      <c r="BM74" s="22"/>
      <c r="BN74" s="22"/>
      <c r="BO74" s="4"/>
      <c r="BP74" s="4"/>
      <c r="BQ74" s="4"/>
      <c r="BR74" s="4"/>
      <c r="BS74" s="4"/>
      <c r="BT74" s="22"/>
      <c r="BU74" s="24"/>
    </row>
    <row r="75" spans="1:73" ht="73.5" customHeight="1" outlineLevel="2">
      <c r="A75" s="46" t="s">
        <v>145</v>
      </c>
      <c r="B75" s="47" t="s">
        <v>622</v>
      </c>
      <c r="C75" s="39">
        <f t="shared" si="7"/>
        <v>96.8151</v>
      </c>
      <c r="D75" s="1">
        <f t="shared" si="5"/>
        <v>56.75467</v>
      </c>
      <c r="E75" s="1">
        <f t="shared" si="6"/>
        <v>40.06043</v>
      </c>
      <c r="F75" s="22"/>
      <c r="G75" s="22"/>
      <c r="H75" s="22"/>
      <c r="I75" s="22"/>
      <c r="J75" s="22"/>
      <c r="K75" s="22"/>
      <c r="L75" s="22"/>
      <c r="M75" s="22"/>
      <c r="N75" s="4"/>
      <c r="O75" s="4"/>
      <c r="P75" s="4"/>
      <c r="Q75" s="4"/>
      <c r="R75" s="4"/>
      <c r="S75" s="22"/>
      <c r="T75" s="22"/>
      <c r="U75" s="22"/>
      <c r="V75" s="22"/>
      <c r="W75" s="22"/>
      <c r="X75" s="22"/>
      <c r="Y75" s="22"/>
      <c r="Z75" s="22"/>
      <c r="AA75" s="4"/>
      <c r="AB75" s="23"/>
      <c r="AC75" s="4"/>
      <c r="AD75" s="22"/>
      <c r="AE75" s="22"/>
      <c r="AF75" s="22"/>
      <c r="AG75" s="22"/>
      <c r="AH75" s="20"/>
      <c r="AI75" s="4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>
        <v>16.28859</v>
      </c>
      <c r="AZ75" s="4">
        <v>14.69809</v>
      </c>
      <c r="BA75" s="4"/>
      <c r="BB75" s="4"/>
      <c r="BC75" s="22"/>
      <c r="BD75" s="22"/>
      <c r="BE75" s="22"/>
      <c r="BF75" s="22">
        <v>40.46608</v>
      </c>
      <c r="BG75" s="22">
        <v>25.36234</v>
      </c>
      <c r="BH75" s="22"/>
      <c r="BI75" s="22"/>
      <c r="BJ75" s="22"/>
      <c r="BK75" s="22"/>
      <c r="BL75" s="22"/>
      <c r="BM75" s="22"/>
      <c r="BN75" s="22"/>
      <c r="BO75" s="4"/>
      <c r="BP75" s="4"/>
      <c r="BQ75" s="4"/>
      <c r="BR75" s="4"/>
      <c r="BS75" s="4"/>
      <c r="BT75" s="22"/>
      <c r="BU75" s="24"/>
    </row>
    <row r="76" spans="1:73" ht="73.5" customHeight="1" outlineLevel="2">
      <c r="A76" s="46" t="s">
        <v>145</v>
      </c>
      <c r="B76" s="47" t="s">
        <v>623</v>
      </c>
      <c r="C76" s="39">
        <f t="shared" si="7"/>
        <v>756.24794</v>
      </c>
      <c r="D76" s="1">
        <f t="shared" si="5"/>
        <v>257.57511</v>
      </c>
      <c r="E76" s="1">
        <f t="shared" si="6"/>
        <v>498.67283</v>
      </c>
      <c r="F76" s="22"/>
      <c r="G76" s="22"/>
      <c r="H76" s="22"/>
      <c r="I76" s="22"/>
      <c r="J76" s="22"/>
      <c r="K76" s="22"/>
      <c r="L76" s="22"/>
      <c r="M76" s="22"/>
      <c r="N76" s="4"/>
      <c r="O76" s="4"/>
      <c r="P76" s="4"/>
      <c r="Q76" s="4"/>
      <c r="R76" s="4"/>
      <c r="S76" s="22"/>
      <c r="T76" s="22"/>
      <c r="U76" s="22"/>
      <c r="V76" s="22"/>
      <c r="W76" s="22"/>
      <c r="X76" s="22"/>
      <c r="Y76" s="22"/>
      <c r="Z76" s="22"/>
      <c r="AA76" s="4"/>
      <c r="AB76" s="4"/>
      <c r="AC76" s="4"/>
      <c r="AD76" s="22"/>
      <c r="AE76" s="22"/>
      <c r="AF76" s="22"/>
      <c r="AG76" s="22"/>
      <c r="AH76" s="20"/>
      <c r="AI76" s="4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>
        <v>219.69141</v>
      </c>
      <c r="AZ76" s="4">
        <v>158.56941</v>
      </c>
      <c r="BA76" s="4"/>
      <c r="BB76" s="4"/>
      <c r="BC76" s="22"/>
      <c r="BD76" s="22"/>
      <c r="BE76" s="22"/>
      <c r="BF76" s="22">
        <v>37.8837</v>
      </c>
      <c r="BG76" s="22">
        <v>23.50634</v>
      </c>
      <c r="BH76" s="22"/>
      <c r="BI76" s="22"/>
      <c r="BJ76" s="22">
        <v>316.59708</v>
      </c>
      <c r="BK76" s="22"/>
      <c r="BL76" s="22"/>
      <c r="BM76" s="22"/>
      <c r="BN76" s="22"/>
      <c r="BO76" s="4"/>
      <c r="BP76" s="4"/>
      <c r="BQ76" s="4"/>
      <c r="BR76" s="4"/>
      <c r="BS76" s="4"/>
      <c r="BT76" s="22"/>
      <c r="BU76" s="24"/>
    </row>
    <row r="77" spans="1:73" ht="73.5" customHeight="1" outlineLevel="2">
      <c r="A77" s="46" t="s">
        <v>145</v>
      </c>
      <c r="B77" s="47" t="s">
        <v>624</v>
      </c>
      <c r="C77" s="39">
        <f t="shared" si="7"/>
        <v>441.92488</v>
      </c>
      <c r="D77" s="1">
        <f t="shared" si="5"/>
        <v>169.55804</v>
      </c>
      <c r="E77" s="1">
        <f t="shared" si="6"/>
        <v>272.36683999999997</v>
      </c>
      <c r="F77" s="22"/>
      <c r="G77" s="22"/>
      <c r="H77" s="22"/>
      <c r="I77" s="22"/>
      <c r="J77" s="22"/>
      <c r="K77" s="22"/>
      <c r="L77" s="22">
        <v>138.39729</v>
      </c>
      <c r="M77" s="22"/>
      <c r="N77" s="4"/>
      <c r="O77" s="4"/>
      <c r="P77" s="4"/>
      <c r="Q77" s="4"/>
      <c r="R77" s="4"/>
      <c r="S77" s="22"/>
      <c r="T77" s="22"/>
      <c r="U77" s="22"/>
      <c r="V77" s="22"/>
      <c r="W77" s="22"/>
      <c r="X77" s="22"/>
      <c r="Y77" s="22"/>
      <c r="Z77" s="22"/>
      <c r="AA77" s="4">
        <v>18.063</v>
      </c>
      <c r="AB77" s="4">
        <v>58.74275</v>
      </c>
      <c r="AC77" s="4">
        <v>23.54222</v>
      </c>
      <c r="AD77" s="22"/>
      <c r="AE77" s="22"/>
      <c r="AF77" s="22"/>
      <c r="AG77" s="22"/>
      <c r="AH77" s="20"/>
      <c r="AI77" s="4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4"/>
      <c r="BA77" s="4"/>
      <c r="BB77" s="4"/>
      <c r="BC77" s="22"/>
      <c r="BD77" s="22"/>
      <c r="BE77" s="22"/>
      <c r="BF77" s="22">
        <v>110.81529</v>
      </c>
      <c r="BG77" s="22">
        <v>69.24683</v>
      </c>
      <c r="BH77" s="22"/>
      <c r="BI77" s="22"/>
      <c r="BJ77" s="22">
        <v>23.1175</v>
      </c>
      <c r="BK77" s="22"/>
      <c r="BL77" s="22"/>
      <c r="BM77" s="22"/>
      <c r="BN77" s="22"/>
      <c r="BO77" s="4"/>
      <c r="BP77" s="4"/>
      <c r="BQ77" s="4"/>
      <c r="BR77" s="4"/>
      <c r="BS77" s="4"/>
      <c r="BT77" s="22"/>
      <c r="BU77" s="24"/>
    </row>
    <row r="78" spans="1:73" ht="73.5" customHeight="1" outlineLevel="2">
      <c r="A78" s="46" t="s">
        <v>145</v>
      </c>
      <c r="B78" s="47" t="s">
        <v>833</v>
      </c>
      <c r="C78" s="39">
        <f t="shared" si="7"/>
        <v>38.98305</v>
      </c>
      <c r="D78" s="1">
        <f t="shared" si="5"/>
        <v>0</v>
      </c>
      <c r="E78" s="1">
        <f t="shared" si="6"/>
        <v>38.98305</v>
      </c>
      <c r="F78" s="22"/>
      <c r="G78" s="22"/>
      <c r="H78" s="22"/>
      <c r="I78" s="22"/>
      <c r="J78" s="22"/>
      <c r="K78" s="22"/>
      <c r="L78" s="22"/>
      <c r="M78" s="22"/>
      <c r="N78" s="4"/>
      <c r="O78" s="4"/>
      <c r="P78" s="4"/>
      <c r="Q78" s="4"/>
      <c r="R78" s="4"/>
      <c r="S78" s="22"/>
      <c r="T78" s="22"/>
      <c r="U78" s="22"/>
      <c r="V78" s="22"/>
      <c r="W78" s="22"/>
      <c r="X78" s="22"/>
      <c r="Y78" s="22"/>
      <c r="Z78" s="22"/>
      <c r="AA78" s="4"/>
      <c r="AB78" s="4"/>
      <c r="AC78" s="4"/>
      <c r="AD78" s="22"/>
      <c r="AE78" s="22"/>
      <c r="AF78" s="22"/>
      <c r="AG78" s="22"/>
      <c r="AH78" s="20"/>
      <c r="AI78" s="4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4"/>
      <c r="BA78" s="4"/>
      <c r="BB78" s="4"/>
      <c r="BC78" s="22"/>
      <c r="BD78" s="22"/>
      <c r="BE78" s="22">
        <v>38.98305</v>
      </c>
      <c r="BF78" s="22"/>
      <c r="BG78" s="22"/>
      <c r="BH78" s="22"/>
      <c r="BI78" s="22"/>
      <c r="BJ78" s="22"/>
      <c r="BK78" s="22"/>
      <c r="BL78" s="22"/>
      <c r="BM78" s="22"/>
      <c r="BN78" s="22"/>
      <c r="BO78" s="4"/>
      <c r="BP78" s="4"/>
      <c r="BQ78" s="4"/>
      <c r="BR78" s="4"/>
      <c r="BS78" s="4"/>
      <c r="BT78" s="22"/>
      <c r="BU78" s="24"/>
    </row>
    <row r="79" spans="1:73" ht="73.5" customHeight="1" outlineLevel="2">
      <c r="A79" s="46" t="s">
        <v>145</v>
      </c>
      <c r="B79" s="47" t="s">
        <v>848</v>
      </c>
      <c r="C79" s="39">
        <f>D79+E79</f>
        <v>3000</v>
      </c>
      <c r="D79" s="1">
        <f t="shared" si="5"/>
        <v>0</v>
      </c>
      <c r="E79" s="1">
        <f t="shared" si="6"/>
        <v>3000</v>
      </c>
      <c r="F79" s="22"/>
      <c r="G79" s="22"/>
      <c r="H79" s="22"/>
      <c r="I79" s="22"/>
      <c r="J79" s="22"/>
      <c r="K79" s="22"/>
      <c r="L79" s="22"/>
      <c r="M79" s="22"/>
      <c r="N79" s="4"/>
      <c r="O79" s="4"/>
      <c r="P79" s="4"/>
      <c r="Q79" s="4"/>
      <c r="R79" s="4"/>
      <c r="S79" s="22"/>
      <c r="T79" s="22"/>
      <c r="U79" s="22"/>
      <c r="V79" s="22"/>
      <c r="W79" s="22"/>
      <c r="X79" s="22"/>
      <c r="Y79" s="22"/>
      <c r="Z79" s="22"/>
      <c r="AA79" s="4"/>
      <c r="AB79" s="4"/>
      <c r="AC79" s="4"/>
      <c r="AD79" s="22"/>
      <c r="AE79" s="22"/>
      <c r="AF79" s="22"/>
      <c r="AG79" s="22"/>
      <c r="AH79" s="20"/>
      <c r="AI79" s="4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4"/>
      <c r="BA79" s="4"/>
      <c r="BB79" s="4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4"/>
      <c r="BP79" s="4">
        <v>3000</v>
      </c>
      <c r="BQ79" s="4"/>
      <c r="BR79" s="4"/>
      <c r="BS79" s="4"/>
      <c r="BT79" s="22"/>
      <c r="BU79" s="24"/>
    </row>
    <row r="80" spans="1:73" ht="73.5" customHeight="1" outlineLevel="2">
      <c r="A80" s="46" t="s">
        <v>145</v>
      </c>
      <c r="B80" s="47" t="s">
        <v>625</v>
      </c>
      <c r="C80" s="39">
        <f t="shared" si="7"/>
        <v>2067.23039</v>
      </c>
      <c r="D80" s="1">
        <f t="shared" si="5"/>
        <v>1312.06995</v>
      </c>
      <c r="E80" s="1">
        <f t="shared" si="6"/>
        <v>755.16044</v>
      </c>
      <c r="F80" s="22"/>
      <c r="G80" s="22"/>
      <c r="H80" s="22"/>
      <c r="I80" s="22"/>
      <c r="J80" s="22"/>
      <c r="K80" s="22"/>
      <c r="L80" s="22"/>
      <c r="M80" s="22"/>
      <c r="N80" s="4">
        <v>309.54192</v>
      </c>
      <c r="O80" s="4">
        <v>13.66633</v>
      </c>
      <c r="P80" s="4"/>
      <c r="Q80" s="4"/>
      <c r="R80" s="4"/>
      <c r="S80" s="22"/>
      <c r="T80" s="22"/>
      <c r="U80" s="22"/>
      <c r="V80" s="22"/>
      <c r="W80" s="22"/>
      <c r="X80" s="22"/>
      <c r="Y80" s="22"/>
      <c r="Z80" s="22"/>
      <c r="AA80" s="4"/>
      <c r="AB80" s="23">
        <v>175.43328</v>
      </c>
      <c r="AC80" s="4">
        <v>69.9274</v>
      </c>
      <c r="AD80" s="22"/>
      <c r="AE80" s="22"/>
      <c r="AF80" s="22"/>
      <c r="AG80" s="22"/>
      <c r="AH80" s="20"/>
      <c r="AI80" s="4"/>
      <c r="AJ80" s="22"/>
      <c r="AK80" s="22"/>
      <c r="AL80" s="22">
        <v>101.46451</v>
      </c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>
        <v>562.67048</v>
      </c>
      <c r="AZ80" s="4">
        <v>405.23543</v>
      </c>
      <c r="BA80" s="4"/>
      <c r="BB80" s="4"/>
      <c r="BC80" s="22"/>
      <c r="BD80" s="22"/>
      <c r="BE80" s="22"/>
      <c r="BF80" s="22">
        <v>264.42427</v>
      </c>
      <c r="BG80" s="22">
        <v>164.86677</v>
      </c>
      <c r="BH80" s="22"/>
      <c r="BI80" s="22"/>
      <c r="BJ80" s="22"/>
      <c r="BK80" s="22"/>
      <c r="BL80" s="22"/>
      <c r="BM80" s="22"/>
      <c r="BN80" s="22"/>
      <c r="BO80" s="4"/>
      <c r="BP80" s="4"/>
      <c r="BQ80" s="4"/>
      <c r="BR80" s="4"/>
      <c r="BS80" s="4"/>
      <c r="BT80" s="22"/>
      <c r="BU80" s="24"/>
    </row>
    <row r="81" spans="1:73" ht="73.5" customHeight="1" outlineLevel="2">
      <c r="A81" s="46" t="s">
        <v>145</v>
      </c>
      <c r="B81" s="47" t="s">
        <v>626</v>
      </c>
      <c r="C81" s="39">
        <f t="shared" si="7"/>
        <v>1360.76483</v>
      </c>
      <c r="D81" s="1">
        <f t="shared" si="5"/>
        <v>826.80576</v>
      </c>
      <c r="E81" s="1">
        <f t="shared" si="6"/>
        <v>533.95907</v>
      </c>
      <c r="F81" s="22"/>
      <c r="G81" s="22"/>
      <c r="H81" s="22"/>
      <c r="I81" s="22"/>
      <c r="J81" s="22">
        <v>151.42759</v>
      </c>
      <c r="K81" s="22">
        <v>54.42461</v>
      </c>
      <c r="L81" s="22"/>
      <c r="M81" s="22"/>
      <c r="N81" s="4">
        <v>12.74005</v>
      </c>
      <c r="O81" s="4">
        <v>0.66464</v>
      </c>
      <c r="P81" s="4"/>
      <c r="Q81" s="4"/>
      <c r="R81" s="4"/>
      <c r="S81" s="22"/>
      <c r="T81" s="22"/>
      <c r="U81" s="22"/>
      <c r="V81" s="22"/>
      <c r="W81" s="22"/>
      <c r="X81" s="22"/>
      <c r="Y81" s="22"/>
      <c r="Z81" s="22"/>
      <c r="AA81" s="4">
        <v>23.895</v>
      </c>
      <c r="AB81" s="23">
        <v>477.49124</v>
      </c>
      <c r="AC81" s="4">
        <v>139.85479</v>
      </c>
      <c r="AD81" s="22"/>
      <c r="AE81" s="22"/>
      <c r="AF81" s="22"/>
      <c r="AG81" s="22"/>
      <c r="AH81" s="20">
        <v>14.42128</v>
      </c>
      <c r="AI81" s="4"/>
      <c r="AJ81" s="20">
        <v>14.42128</v>
      </c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4"/>
      <c r="BA81" s="4"/>
      <c r="BB81" s="4"/>
      <c r="BC81" s="22"/>
      <c r="BD81" s="22"/>
      <c r="BE81" s="22"/>
      <c r="BF81" s="22">
        <v>185.14688</v>
      </c>
      <c r="BG81" s="22">
        <v>115.75875</v>
      </c>
      <c r="BH81" s="22"/>
      <c r="BI81" s="22"/>
      <c r="BJ81" s="22">
        <v>184.94</v>
      </c>
      <c r="BK81" s="22"/>
      <c r="BL81" s="22"/>
      <c r="BM81" s="22"/>
      <c r="BN81" s="22"/>
      <c r="BO81" s="4"/>
      <c r="BP81" s="4"/>
      <c r="BQ81" s="4"/>
      <c r="BR81" s="4"/>
      <c r="BS81" s="4"/>
      <c r="BT81" s="22"/>
      <c r="BU81" s="24"/>
    </row>
    <row r="82" spans="1:73" ht="73.5" customHeight="1" outlineLevel="2">
      <c r="A82" s="46" t="s">
        <v>145</v>
      </c>
      <c r="B82" s="27" t="s">
        <v>627</v>
      </c>
      <c r="C82" s="39">
        <f t="shared" si="7"/>
        <v>109.09587</v>
      </c>
      <c r="D82" s="1">
        <f t="shared" si="5"/>
        <v>67.17242</v>
      </c>
      <c r="E82" s="1">
        <f t="shared" si="6"/>
        <v>41.92345</v>
      </c>
      <c r="F82" s="22"/>
      <c r="G82" s="22"/>
      <c r="H82" s="22"/>
      <c r="I82" s="22"/>
      <c r="J82" s="22"/>
      <c r="K82" s="22"/>
      <c r="L82" s="22"/>
      <c r="M82" s="22"/>
      <c r="N82" s="4"/>
      <c r="O82" s="4"/>
      <c r="P82" s="4"/>
      <c r="Q82" s="4"/>
      <c r="R82" s="4"/>
      <c r="S82" s="22"/>
      <c r="T82" s="22"/>
      <c r="U82" s="22"/>
      <c r="V82" s="22"/>
      <c r="W82" s="22"/>
      <c r="X82" s="22"/>
      <c r="Y82" s="22"/>
      <c r="Z82" s="22"/>
      <c r="AA82" s="4"/>
      <c r="AB82" s="23"/>
      <c r="AC82" s="4"/>
      <c r="AD82" s="22"/>
      <c r="AE82" s="22"/>
      <c r="AF82" s="22"/>
      <c r="AG82" s="22"/>
      <c r="AH82" s="20"/>
      <c r="AI82" s="4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4"/>
      <c r="BA82" s="4"/>
      <c r="BB82" s="4"/>
      <c r="BC82" s="22"/>
      <c r="BD82" s="22"/>
      <c r="BE82" s="22"/>
      <c r="BF82" s="22">
        <v>67.17242</v>
      </c>
      <c r="BG82" s="22">
        <v>41.92345</v>
      </c>
      <c r="BH82" s="22"/>
      <c r="BI82" s="22"/>
      <c r="BJ82" s="22"/>
      <c r="BK82" s="22"/>
      <c r="BL82" s="22"/>
      <c r="BM82" s="22"/>
      <c r="BN82" s="22"/>
      <c r="BO82" s="4"/>
      <c r="BP82" s="4"/>
      <c r="BQ82" s="4"/>
      <c r="BR82" s="4"/>
      <c r="BS82" s="4"/>
      <c r="BT82" s="22"/>
      <c r="BU82" s="24"/>
    </row>
    <row r="83" spans="1:73" ht="73.5" customHeight="1" outlineLevel="2">
      <c r="A83" s="46" t="s">
        <v>145</v>
      </c>
      <c r="B83" s="27" t="s">
        <v>746</v>
      </c>
      <c r="C83" s="39">
        <f t="shared" si="7"/>
        <v>16.7404</v>
      </c>
      <c r="D83" s="1">
        <f t="shared" si="5"/>
        <v>7.02108</v>
      </c>
      <c r="E83" s="1">
        <f t="shared" si="6"/>
        <v>9.71932</v>
      </c>
      <c r="F83" s="22"/>
      <c r="G83" s="22"/>
      <c r="H83" s="22"/>
      <c r="I83" s="22"/>
      <c r="J83" s="22"/>
      <c r="K83" s="22"/>
      <c r="L83" s="22"/>
      <c r="M83" s="22"/>
      <c r="N83" s="4"/>
      <c r="O83" s="4"/>
      <c r="P83" s="4"/>
      <c r="Q83" s="4"/>
      <c r="R83" s="4"/>
      <c r="S83" s="22"/>
      <c r="T83" s="22"/>
      <c r="U83" s="22"/>
      <c r="V83" s="22"/>
      <c r="W83" s="22"/>
      <c r="X83" s="22"/>
      <c r="Y83" s="22"/>
      <c r="Z83" s="22"/>
      <c r="AA83" s="4"/>
      <c r="AB83" s="23"/>
      <c r="AC83" s="4"/>
      <c r="AD83" s="22"/>
      <c r="AE83" s="22"/>
      <c r="AF83" s="22"/>
      <c r="AG83" s="22"/>
      <c r="AH83" s="20"/>
      <c r="AI83" s="4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>
        <v>7.02108</v>
      </c>
      <c r="AZ83" s="4">
        <v>9.71932</v>
      </c>
      <c r="BA83" s="4"/>
      <c r="BB83" s="4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4"/>
      <c r="BP83" s="4"/>
      <c r="BQ83" s="4"/>
      <c r="BR83" s="4"/>
      <c r="BS83" s="4"/>
      <c r="BT83" s="22"/>
      <c r="BU83" s="24"/>
    </row>
    <row r="84" spans="1:73" ht="73.5" customHeight="1" outlineLevel="2">
      <c r="A84" s="46" t="s">
        <v>145</v>
      </c>
      <c r="B84" s="27" t="s">
        <v>745</v>
      </c>
      <c r="C84" s="39">
        <f t="shared" si="7"/>
        <v>1175.1352499999998</v>
      </c>
      <c r="D84" s="1">
        <f t="shared" si="5"/>
        <v>574.54896</v>
      </c>
      <c r="E84" s="1">
        <f t="shared" si="6"/>
        <v>600.58629</v>
      </c>
      <c r="F84" s="22"/>
      <c r="G84" s="22"/>
      <c r="H84" s="22"/>
      <c r="I84" s="22"/>
      <c r="J84" s="22"/>
      <c r="K84" s="22"/>
      <c r="L84" s="22"/>
      <c r="M84" s="22"/>
      <c r="N84" s="4"/>
      <c r="O84" s="4"/>
      <c r="P84" s="4"/>
      <c r="Q84" s="4"/>
      <c r="R84" s="4"/>
      <c r="S84" s="22"/>
      <c r="T84" s="22"/>
      <c r="U84" s="22"/>
      <c r="V84" s="22"/>
      <c r="W84" s="22"/>
      <c r="X84" s="22"/>
      <c r="Y84" s="22"/>
      <c r="Z84" s="22"/>
      <c r="AA84" s="4"/>
      <c r="AB84" s="23">
        <v>330.14482</v>
      </c>
      <c r="AC84" s="4">
        <v>111.88383</v>
      </c>
      <c r="AD84" s="22"/>
      <c r="AE84" s="22"/>
      <c r="AF84" s="22"/>
      <c r="AG84" s="22"/>
      <c r="AH84" s="20"/>
      <c r="AI84" s="4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>
        <v>244.40414</v>
      </c>
      <c r="AZ84" s="4">
        <v>488.70246</v>
      </c>
      <c r="BA84" s="4"/>
      <c r="BB84" s="4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4"/>
      <c r="BP84" s="4"/>
      <c r="BQ84" s="4"/>
      <c r="BR84" s="4"/>
      <c r="BS84" s="4"/>
      <c r="BT84" s="22"/>
      <c r="BU84" s="24"/>
    </row>
    <row r="85" spans="1:73" ht="73.5" customHeight="1" outlineLevel="2">
      <c r="A85" s="46" t="s">
        <v>145</v>
      </c>
      <c r="B85" s="26" t="s">
        <v>628</v>
      </c>
      <c r="C85" s="39">
        <f t="shared" si="7"/>
        <v>81.32834</v>
      </c>
      <c r="D85" s="1">
        <f t="shared" si="5"/>
        <v>43.07599</v>
      </c>
      <c r="E85" s="1">
        <f t="shared" si="6"/>
        <v>38.25235</v>
      </c>
      <c r="F85" s="22"/>
      <c r="G85" s="22"/>
      <c r="H85" s="22"/>
      <c r="I85" s="22"/>
      <c r="J85" s="22"/>
      <c r="K85" s="22"/>
      <c r="L85" s="22"/>
      <c r="M85" s="22"/>
      <c r="N85" s="4"/>
      <c r="O85" s="4"/>
      <c r="P85" s="4"/>
      <c r="Q85" s="4"/>
      <c r="R85" s="4"/>
      <c r="S85" s="22"/>
      <c r="T85" s="22"/>
      <c r="U85" s="22"/>
      <c r="V85" s="22"/>
      <c r="W85" s="22"/>
      <c r="X85" s="22"/>
      <c r="Y85" s="22"/>
      <c r="Z85" s="22"/>
      <c r="AA85" s="4"/>
      <c r="AB85" s="4"/>
      <c r="AC85" s="4"/>
      <c r="AD85" s="22"/>
      <c r="AE85" s="22"/>
      <c r="AF85" s="22"/>
      <c r="AG85" s="22"/>
      <c r="AH85" s="20"/>
      <c r="AI85" s="4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>
        <v>43.07599</v>
      </c>
      <c r="AZ85" s="4">
        <v>38.25235</v>
      </c>
      <c r="BA85" s="4"/>
      <c r="BB85" s="4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4"/>
      <c r="BP85" s="4"/>
      <c r="BQ85" s="4"/>
      <c r="BR85" s="4"/>
      <c r="BS85" s="4"/>
      <c r="BT85" s="22"/>
      <c r="BU85" s="24"/>
    </row>
    <row r="86" spans="1:73" ht="73.5" customHeight="1" outlineLevel="2" thickBot="1">
      <c r="A86" s="46" t="s">
        <v>145</v>
      </c>
      <c r="B86" s="45" t="s">
        <v>420</v>
      </c>
      <c r="C86" s="39">
        <f t="shared" si="7"/>
        <v>2340.51714</v>
      </c>
      <c r="D86" s="1">
        <f t="shared" si="5"/>
        <v>2248.27169</v>
      </c>
      <c r="E86" s="1">
        <f t="shared" si="6"/>
        <v>92.24545</v>
      </c>
      <c r="F86" s="22"/>
      <c r="G86" s="22"/>
      <c r="H86" s="22"/>
      <c r="I86" s="22"/>
      <c r="J86" s="22"/>
      <c r="K86" s="22"/>
      <c r="L86" s="22"/>
      <c r="M86" s="22"/>
      <c r="N86" s="4">
        <v>2248.27169</v>
      </c>
      <c r="O86" s="4">
        <f>34.88187+57.36358</f>
        <v>92.24545</v>
      </c>
      <c r="P86" s="4"/>
      <c r="Q86" s="4"/>
      <c r="R86" s="4"/>
      <c r="S86" s="22"/>
      <c r="T86" s="22"/>
      <c r="U86" s="22"/>
      <c r="V86" s="22"/>
      <c r="W86" s="22"/>
      <c r="X86" s="22"/>
      <c r="Y86" s="22"/>
      <c r="Z86" s="22"/>
      <c r="AA86" s="4"/>
      <c r="AB86" s="4"/>
      <c r="AC86" s="4"/>
      <c r="AD86" s="22"/>
      <c r="AE86" s="22"/>
      <c r="AF86" s="22"/>
      <c r="AG86" s="22"/>
      <c r="AH86" s="20"/>
      <c r="AI86" s="4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4"/>
      <c r="BA86" s="4"/>
      <c r="BB86" s="4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4"/>
      <c r="BP86" s="4"/>
      <c r="BQ86" s="4"/>
      <c r="BR86" s="4"/>
      <c r="BS86" s="4"/>
      <c r="BT86" s="22"/>
      <c r="BU86" s="24"/>
    </row>
    <row r="87" spans="1:74" s="35" customFormat="1" ht="73.5" customHeight="1" outlineLevel="1" thickBot="1">
      <c r="A87" s="29" t="s">
        <v>421</v>
      </c>
      <c r="B87" s="48"/>
      <c r="C87" s="49">
        <f aca="true" t="shared" si="8" ref="C87:BN87">SUBTOTAL(9,C71:C86)</f>
        <v>33310.749469999995</v>
      </c>
      <c r="D87" s="49">
        <f t="shared" si="8"/>
        <v>17688.62236</v>
      </c>
      <c r="E87" s="49">
        <f t="shared" si="8"/>
        <v>15622.127110000001</v>
      </c>
      <c r="F87" s="49">
        <f t="shared" si="8"/>
        <v>0</v>
      </c>
      <c r="G87" s="49">
        <f t="shared" si="8"/>
        <v>0</v>
      </c>
      <c r="H87" s="49">
        <f t="shared" si="8"/>
        <v>0</v>
      </c>
      <c r="I87" s="49">
        <f t="shared" si="8"/>
        <v>0</v>
      </c>
      <c r="J87" s="49">
        <f t="shared" si="8"/>
        <v>3711.86388</v>
      </c>
      <c r="K87" s="49">
        <f t="shared" si="8"/>
        <v>3113.1220200000002</v>
      </c>
      <c r="L87" s="49">
        <f t="shared" si="8"/>
        <v>138.39729</v>
      </c>
      <c r="M87" s="49">
        <f t="shared" si="8"/>
        <v>0</v>
      </c>
      <c r="N87" s="49">
        <f t="shared" si="8"/>
        <v>2570.55366</v>
      </c>
      <c r="O87" s="49">
        <f t="shared" si="8"/>
        <v>106.57642000000001</v>
      </c>
      <c r="P87" s="49">
        <f t="shared" si="8"/>
        <v>0</v>
      </c>
      <c r="Q87" s="49">
        <f t="shared" si="8"/>
        <v>0</v>
      </c>
      <c r="R87" s="49">
        <f t="shared" si="8"/>
        <v>0</v>
      </c>
      <c r="S87" s="49">
        <f t="shared" si="8"/>
        <v>0</v>
      </c>
      <c r="T87" s="49">
        <f t="shared" si="8"/>
        <v>0</v>
      </c>
      <c r="U87" s="49">
        <f t="shared" si="8"/>
        <v>0</v>
      </c>
      <c r="V87" s="49">
        <f t="shared" si="8"/>
        <v>380.78208</v>
      </c>
      <c r="W87" s="49">
        <f t="shared" si="8"/>
        <v>204.46399</v>
      </c>
      <c r="X87" s="49">
        <f t="shared" si="8"/>
        <v>0</v>
      </c>
      <c r="Y87" s="49">
        <f t="shared" si="8"/>
        <v>0</v>
      </c>
      <c r="Z87" s="49">
        <f t="shared" si="8"/>
        <v>139.00631</v>
      </c>
      <c r="AA87" s="49">
        <f t="shared" si="8"/>
        <v>270.405</v>
      </c>
      <c r="AB87" s="49">
        <f t="shared" si="8"/>
        <v>5561.40933</v>
      </c>
      <c r="AC87" s="49">
        <f t="shared" si="8"/>
        <v>1052.52384</v>
      </c>
      <c r="AD87" s="49">
        <f t="shared" si="8"/>
        <v>0</v>
      </c>
      <c r="AE87" s="49">
        <f t="shared" si="8"/>
        <v>0</v>
      </c>
      <c r="AF87" s="49">
        <f t="shared" si="8"/>
        <v>0</v>
      </c>
      <c r="AG87" s="49">
        <f t="shared" si="8"/>
        <v>0</v>
      </c>
      <c r="AH87" s="49">
        <f t="shared" si="8"/>
        <v>1670.0353600000003</v>
      </c>
      <c r="AI87" s="49">
        <f t="shared" si="8"/>
        <v>992.44525</v>
      </c>
      <c r="AJ87" s="49">
        <f t="shared" si="8"/>
        <v>677.59011</v>
      </c>
      <c r="AK87" s="49">
        <f t="shared" si="8"/>
        <v>0</v>
      </c>
      <c r="AL87" s="49">
        <f t="shared" si="8"/>
        <v>101.46451</v>
      </c>
      <c r="AM87" s="49">
        <f t="shared" si="8"/>
        <v>0</v>
      </c>
      <c r="AN87" s="49">
        <f t="shared" si="8"/>
        <v>0</v>
      </c>
      <c r="AO87" s="49">
        <f t="shared" si="8"/>
        <v>0</v>
      </c>
      <c r="AP87" s="49">
        <f t="shared" si="8"/>
        <v>0</v>
      </c>
      <c r="AQ87" s="49">
        <f t="shared" si="8"/>
        <v>0</v>
      </c>
      <c r="AR87" s="49">
        <f t="shared" si="8"/>
        <v>0</v>
      </c>
      <c r="AS87" s="49">
        <f t="shared" si="8"/>
        <v>0</v>
      </c>
      <c r="AT87" s="49">
        <f t="shared" si="8"/>
        <v>0</v>
      </c>
      <c r="AU87" s="49">
        <f t="shared" si="8"/>
        <v>0</v>
      </c>
      <c r="AV87" s="49">
        <f t="shared" si="8"/>
        <v>0</v>
      </c>
      <c r="AW87" s="49">
        <f t="shared" si="8"/>
        <v>0</v>
      </c>
      <c r="AX87" s="49">
        <f t="shared" si="8"/>
        <v>41.6</v>
      </c>
      <c r="AY87" s="49">
        <f t="shared" si="8"/>
        <v>1093.1516900000001</v>
      </c>
      <c r="AZ87" s="49">
        <f t="shared" si="8"/>
        <v>1115.17706</v>
      </c>
      <c r="BA87" s="49">
        <f t="shared" si="8"/>
        <v>0</v>
      </c>
      <c r="BB87" s="49">
        <f t="shared" si="8"/>
        <v>0</v>
      </c>
      <c r="BC87" s="49">
        <f t="shared" si="8"/>
        <v>0</v>
      </c>
      <c r="BD87" s="49">
        <f t="shared" si="8"/>
        <v>1083.38504</v>
      </c>
      <c r="BE87" s="49">
        <f t="shared" si="8"/>
        <v>556.2057500000001</v>
      </c>
      <c r="BF87" s="49">
        <f t="shared" si="8"/>
        <v>4231.85541</v>
      </c>
      <c r="BG87" s="49">
        <f t="shared" si="8"/>
        <v>2644.11625</v>
      </c>
      <c r="BH87" s="49">
        <f t="shared" si="8"/>
        <v>0</v>
      </c>
      <c r="BI87" s="49">
        <f t="shared" si="8"/>
        <v>0</v>
      </c>
      <c r="BJ87" s="49">
        <f t="shared" si="8"/>
        <v>524.65458</v>
      </c>
      <c r="BK87" s="49">
        <f t="shared" si="8"/>
        <v>0</v>
      </c>
      <c r="BL87" s="49">
        <f t="shared" si="8"/>
        <v>0</v>
      </c>
      <c r="BM87" s="49">
        <f t="shared" si="8"/>
        <v>0</v>
      </c>
      <c r="BN87" s="49">
        <f t="shared" si="8"/>
        <v>0</v>
      </c>
      <c r="BO87" s="49">
        <f aca="true" t="shared" si="9" ref="BO87:BT87">SUBTOTAL(9,BO71:BO86)</f>
        <v>0</v>
      </c>
      <c r="BP87" s="49">
        <f t="shared" si="9"/>
        <v>3000</v>
      </c>
      <c r="BQ87" s="49">
        <f t="shared" si="9"/>
        <v>0</v>
      </c>
      <c r="BR87" s="49">
        <f t="shared" si="9"/>
        <v>0</v>
      </c>
      <c r="BS87" s="2">
        <f t="shared" si="9"/>
        <v>0</v>
      </c>
      <c r="BT87" s="2">
        <f t="shared" si="9"/>
        <v>0</v>
      </c>
      <c r="BU87" s="50"/>
      <c r="BV87" s="34"/>
    </row>
    <row r="88" spans="1:73" ht="73.5" customHeight="1" outlineLevel="2">
      <c r="A88" s="51" t="s">
        <v>422</v>
      </c>
      <c r="B88" s="52" t="s">
        <v>263</v>
      </c>
      <c r="C88" s="39">
        <f>D88+E88</f>
        <v>2312.98672</v>
      </c>
      <c r="D88" s="1">
        <f aca="true" t="shared" si="10" ref="D88:D123">F88+J88+N88+R88+T88+Z88+AB88+AD88+AF88+AM88+AO88+AT88+AY88+BF88+BO88+BS88+H88+V88+X88+BQ88+AR88+BH88</f>
        <v>730.54316</v>
      </c>
      <c r="E88" s="1">
        <f aca="true" t="shared" si="11" ref="E88:E123">G88+I88+K88+L88+M88+O88+P88+Q88+S88+U88+W88+Y88+AA88+AC88+AE88+AG88+AH88+AK88+AL88+AN88+AP88+AQ88+AS88+AU88+AV88+AW88+AX88+AZ88+BA88+BB88+BC88+BD88+BE88+BG88+BI88+BJ88+BK88+BL88+BM88+BN88+BU88+BP88+BR88+BT88</f>
        <v>1582.44356</v>
      </c>
      <c r="F88" s="40"/>
      <c r="G88" s="40"/>
      <c r="H88" s="40"/>
      <c r="I88" s="40"/>
      <c r="J88" s="40"/>
      <c r="K88" s="40"/>
      <c r="L88" s="40"/>
      <c r="M88" s="40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0"/>
      <c r="AA88" s="41">
        <v>35.8425</v>
      </c>
      <c r="AB88" s="42">
        <v>284.94451</v>
      </c>
      <c r="AC88" s="41">
        <v>124.23767</v>
      </c>
      <c r="AD88" s="40"/>
      <c r="AE88" s="40"/>
      <c r="AF88" s="40"/>
      <c r="AG88" s="40"/>
      <c r="AH88" s="43">
        <f>84.72502+115.8126</f>
        <v>200.53762</v>
      </c>
      <c r="AI88" s="41">
        <v>115.8126</v>
      </c>
      <c r="AJ88" s="40">
        <v>84.72502</v>
      </c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1"/>
      <c r="BA88" s="41"/>
      <c r="BB88" s="41"/>
      <c r="BC88" s="40"/>
      <c r="BD88" s="40"/>
      <c r="BE88" s="40">
        <v>943.20384</v>
      </c>
      <c r="BF88" s="40">
        <v>445.59865</v>
      </c>
      <c r="BG88" s="40">
        <v>278.62193</v>
      </c>
      <c r="BH88" s="40"/>
      <c r="BI88" s="40"/>
      <c r="BJ88" s="40"/>
      <c r="BK88" s="40"/>
      <c r="BL88" s="40"/>
      <c r="BM88" s="40"/>
      <c r="BN88" s="40"/>
      <c r="BO88" s="41"/>
      <c r="BP88" s="41"/>
      <c r="BQ88" s="41"/>
      <c r="BR88" s="41"/>
      <c r="BS88" s="4"/>
      <c r="BT88" s="22"/>
      <c r="BU88" s="24"/>
    </row>
    <row r="89" spans="1:73" ht="73.5" customHeight="1" outlineLevel="2">
      <c r="A89" s="46" t="s">
        <v>422</v>
      </c>
      <c r="B89" s="45" t="s">
        <v>264</v>
      </c>
      <c r="C89" s="39">
        <f aca="true" t="shared" si="12" ref="C89:C123">D89+E89</f>
        <v>55304.18056999999</v>
      </c>
      <c r="D89" s="1">
        <f t="shared" si="10"/>
        <v>8031.62512</v>
      </c>
      <c r="E89" s="1">
        <f t="shared" si="11"/>
        <v>47272.55544999999</v>
      </c>
      <c r="F89" s="22"/>
      <c r="G89" s="22"/>
      <c r="H89" s="22"/>
      <c r="I89" s="22"/>
      <c r="J89" s="22">
        <v>754.92504</v>
      </c>
      <c r="K89" s="22">
        <v>335.1312</v>
      </c>
      <c r="L89" s="22">
        <v>681.6833</v>
      </c>
      <c r="M89" s="22">
        <v>31867.0566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22">
        <v>69.50315</v>
      </c>
      <c r="AA89" s="4">
        <v>95.5395</v>
      </c>
      <c r="AB89" s="23">
        <v>774.22234</v>
      </c>
      <c r="AC89" s="4">
        <v>391.59342</v>
      </c>
      <c r="AD89" s="22"/>
      <c r="AE89" s="22"/>
      <c r="AF89" s="22"/>
      <c r="AG89" s="22"/>
      <c r="AH89" s="20">
        <f>95.0453+292.3421</f>
        <v>387.3874</v>
      </c>
      <c r="AI89" s="4">
        <v>292.3421</v>
      </c>
      <c r="AJ89" s="22">
        <v>95.0453</v>
      </c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>
        <v>4032.08061</v>
      </c>
      <c r="AZ89" s="4">
        <v>2751.25962</v>
      </c>
      <c r="BA89" s="4"/>
      <c r="BB89" s="4"/>
      <c r="BC89" s="22"/>
      <c r="BD89" s="22"/>
      <c r="BE89" s="22">
        <v>9265.11254</v>
      </c>
      <c r="BF89" s="22">
        <v>2400.89398</v>
      </c>
      <c r="BG89" s="22">
        <v>1497.79187</v>
      </c>
      <c r="BH89" s="22"/>
      <c r="BI89" s="22"/>
      <c r="BJ89" s="22"/>
      <c r="BK89" s="22"/>
      <c r="BL89" s="22"/>
      <c r="BM89" s="22"/>
      <c r="BN89" s="22"/>
      <c r="BO89" s="4"/>
      <c r="BP89" s="4"/>
      <c r="BQ89" s="4"/>
      <c r="BR89" s="4"/>
      <c r="BS89" s="4"/>
      <c r="BT89" s="22"/>
      <c r="BU89" s="24"/>
    </row>
    <row r="90" spans="1:73" ht="73.5" customHeight="1" outlineLevel="2">
      <c r="A90" s="44" t="s">
        <v>422</v>
      </c>
      <c r="B90" s="26" t="s">
        <v>133</v>
      </c>
      <c r="C90" s="39">
        <f t="shared" si="12"/>
        <v>10469.56654</v>
      </c>
      <c r="D90" s="1">
        <f t="shared" si="10"/>
        <v>3122.55887</v>
      </c>
      <c r="E90" s="1">
        <f t="shared" si="11"/>
        <v>7347.007669999999</v>
      </c>
      <c r="F90" s="22"/>
      <c r="G90" s="22"/>
      <c r="H90" s="22"/>
      <c r="I90" s="22"/>
      <c r="J90" s="22">
        <v>134.23782</v>
      </c>
      <c r="K90" s="22">
        <v>56.7479</v>
      </c>
      <c r="L90" s="22"/>
      <c r="M90" s="2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22">
        <v>77.66978</v>
      </c>
      <c r="AA90" s="4">
        <v>174.717</v>
      </c>
      <c r="AB90" s="23">
        <v>398.86806</v>
      </c>
      <c r="AC90" s="4">
        <v>176.45013</v>
      </c>
      <c r="AD90" s="22"/>
      <c r="AE90" s="22"/>
      <c r="AF90" s="22"/>
      <c r="AG90" s="22"/>
      <c r="AH90" s="20">
        <f>137.90349+184.77525</f>
        <v>322.67874</v>
      </c>
      <c r="AI90" s="4">
        <v>184.77525</v>
      </c>
      <c r="AJ90" s="22">
        <v>137.90349</v>
      </c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>
        <v>1386.66477</v>
      </c>
      <c r="AZ90" s="4">
        <v>1022.18739</v>
      </c>
      <c r="BA90" s="4"/>
      <c r="BB90" s="4"/>
      <c r="BC90" s="22"/>
      <c r="BD90" s="22"/>
      <c r="BE90" s="22">
        <v>4891.09517</v>
      </c>
      <c r="BF90" s="22">
        <v>1125.11844</v>
      </c>
      <c r="BG90" s="22">
        <v>703.13134</v>
      </c>
      <c r="BH90" s="22"/>
      <c r="BI90" s="22"/>
      <c r="BJ90" s="22"/>
      <c r="BK90" s="22"/>
      <c r="BL90" s="22"/>
      <c r="BM90" s="22"/>
      <c r="BN90" s="22"/>
      <c r="BO90" s="4"/>
      <c r="BP90" s="4"/>
      <c r="BQ90" s="4"/>
      <c r="BR90" s="4"/>
      <c r="BS90" s="4"/>
      <c r="BT90" s="22"/>
      <c r="BU90" s="24"/>
    </row>
    <row r="91" spans="1:73" ht="73.5" customHeight="1" outlineLevel="2">
      <c r="A91" s="46" t="s">
        <v>422</v>
      </c>
      <c r="B91" s="45" t="s">
        <v>134</v>
      </c>
      <c r="C91" s="39">
        <f t="shared" si="12"/>
        <v>14937.31895</v>
      </c>
      <c r="D91" s="1">
        <f t="shared" si="10"/>
        <v>7803.8615</v>
      </c>
      <c r="E91" s="1">
        <f t="shared" si="11"/>
        <v>7133.45745</v>
      </c>
      <c r="F91" s="22"/>
      <c r="G91" s="22"/>
      <c r="H91" s="22"/>
      <c r="I91" s="22"/>
      <c r="J91" s="22">
        <v>1175.24767</v>
      </c>
      <c r="K91" s="22">
        <v>476.60867</v>
      </c>
      <c r="L91" s="22">
        <f>43.75644+2.52107</f>
        <v>46.27751</v>
      </c>
      <c r="M91" s="22"/>
      <c r="N91" s="4"/>
      <c r="O91" s="4"/>
      <c r="P91" s="4"/>
      <c r="Q91" s="4"/>
      <c r="R91" s="4">
        <v>581.83131</v>
      </c>
      <c r="S91" s="4">
        <v>464.9709</v>
      </c>
      <c r="T91" s="4"/>
      <c r="U91" s="4"/>
      <c r="V91" s="4"/>
      <c r="W91" s="4"/>
      <c r="X91" s="4"/>
      <c r="Y91" s="4"/>
      <c r="Z91" s="22">
        <v>27.80126</v>
      </c>
      <c r="AA91" s="4">
        <v>109.836</v>
      </c>
      <c r="AB91" s="23">
        <v>1106.63727</v>
      </c>
      <c r="AC91" s="4">
        <v>580.16429</v>
      </c>
      <c r="AD91" s="22"/>
      <c r="AE91" s="22"/>
      <c r="AF91" s="22"/>
      <c r="AG91" s="22"/>
      <c r="AH91" s="20">
        <f>270.399+361.30475</f>
        <v>631.70375</v>
      </c>
      <c r="AI91" s="4">
        <v>361.30475</v>
      </c>
      <c r="AJ91" s="22">
        <v>270.399</v>
      </c>
      <c r="AK91" s="22"/>
      <c r="AL91" s="22">
        <f>55.2+83.2388+79.73882</f>
        <v>218.17762000000002</v>
      </c>
      <c r="AM91" s="22"/>
      <c r="AN91" s="22"/>
      <c r="AO91" s="22"/>
      <c r="AP91" s="22"/>
      <c r="AQ91" s="22">
        <f>79.125+324.625</f>
        <v>403.75</v>
      </c>
      <c r="AR91" s="22"/>
      <c r="AS91" s="22"/>
      <c r="AT91" s="22"/>
      <c r="AU91" s="22"/>
      <c r="AV91" s="22"/>
      <c r="AW91" s="22"/>
      <c r="AX91" s="22"/>
      <c r="AY91" s="22">
        <v>2410.8968</v>
      </c>
      <c r="AZ91" s="4">
        <v>1580.66436</v>
      </c>
      <c r="BA91" s="4"/>
      <c r="BB91" s="4"/>
      <c r="BC91" s="22"/>
      <c r="BD91" s="22"/>
      <c r="BE91" s="22">
        <v>872.01535</v>
      </c>
      <c r="BF91" s="22">
        <f>2745.26433-243.81714</f>
        <v>2501.44719</v>
      </c>
      <c r="BG91" s="22">
        <f>1714.825-153.10238</f>
        <v>1561.72262</v>
      </c>
      <c r="BH91" s="22"/>
      <c r="BI91" s="22"/>
      <c r="BJ91" s="22">
        <v>187.56638</v>
      </c>
      <c r="BK91" s="22"/>
      <c r="BL91" s="22"/>
      <c r="BM91" s="22"/>
      <c r="BN91" s="22"/>
      <c r="BO91" s="4"/>
      <c r="BP91" s="4"/>
      <c r="BQ91" s="4"/>
      <c r="BR91" s="4"/>
      <c r="BS91" s="4"/>
      <c r="BT91" s="22"/>
      <c r="BU91" s="24"/>
    </row>
    <row r="92" spans="1:73" ht="73.5" customHeight="1" outlineLevel="2">
      <c r="A92" s="46" t="s">
        <v>422</v>
      </c>
      <c r="B92" s="45" t="s">
        <v>410</v>
      </c>
      <c r="C92" s="39">
        <f t="shared" si="12"/>
        <v>5150.82453</v>
      </c>
      <c r="D92" s="1">
        <f t="shared" si="10"/>
        <v>2811.61661</v>
      </c>
      <c r="E92" s="1">
        <f t="shared" si="11"/>
        <v>2339.20792</v>
      </c>
      <c r="F92" s="22"/>
      <c r="G92" s="22"/>
      <c r="H92" s="22"/>
      <c r="I92" s="22"/>
      <c r="J92" s="22"/>
      <c r="K92" s="22"/>
      <c r="L92" s="22"/>
      <c r="M92" s="2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22"/>
      <c r="AA92" s="4">
        <v>109.593</v>
      </c>
      <c r="AB92" s="23">
        <v>1388.65663</v>
      </c>
      <c r="AC92" s="4">
        <v>662.91171</v>
      </c>
      <c r="AD92" s="22"/>
      <c r="AE92" s="22"/>
      <c r="AF92" s="22"/>
      <c r="AG92" s="22"/>
      <c r="AH92" s="20">
        <f>264.08969+353.059</f>
        <v>617.14869</v>
      </c>
      <c r="AI92" s="4">
        <v>353.059</v>
      </c>
      <c r="AJ92" s="22">
        <v>264.08969</v>
      </c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4"/>
      <c r="BA92" s="4"/>
      <c r="BB92" s="4"/>
      <c r="BC92" s="22"/>
      <c r="BD92" s="22"/>
      <c r="BE92" s="22">
        <v>60.04365</v>
      </c>
      <c r="BF92" s="22">
        <v>1422.95998</v>
      </c>
      <c r="BG92" s="22">
        <v>889.51087</v>
      </c>
      <c r="BH92" s="22"/>
      <c r="BI92" s="22"/>
      <c r="BJ92" s="22"/>
      <c r="BK92" s="22"/>
      <c r="BL92" s="22"/>
      <c r="BM92" s="22"/>
      <c r="BN92" s="22"/>
      <c r="BO92" s="4"/>
      <c r="BP92" s="4"/>
      <c r="BQ92" s="4"/>
      <c r="BR92" s="4"/>
      <c r="BS92" s="4"/>
      <c r="BT92" s="22"/>
      <c r="BU92" s="24"/>
    </row>
    <row r="93" spans="1:73" ht="73.5" customHeight="1" outlineLevel="2">
      <c r="A93" s="46" t="s">
        <v>422</v>
      </c>
      <c r="B93" s="45" t="s">
        <v>104</v>
      </c>
      <c r="C93" s="39">
        <f t="shared" si="12"/>
        <v>1839.34707</v>
      </c>
      <c r="D93" s="1">
        <f t="shared" si="10"/>
        <v>399.5915</v>
      </c>
      <c r="E93" s="1">
        <f t="shared" si="11"/>
        <v>1439.75557</v>
      </c>
      <c r="F93" s="22"/>
      <c r="G93" s="22"/>
      <c r="H93" s="22"/>
      <c r="I93" s="22"/>
      <c r="J93" s="22"/>
      <c r="K93" s="22"/>
      <c r="L93" s="22">
        <f>1040.24812+30.99546</f>
        <v>1071.24358</v>
      </c>
      <c r="M93" s="2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22"/>
      <c r="AA93" s="4"/>
      <c r="AB93" s="4">
        <v>133.54264</v>
      </c>
      <c r="AC93" s="4">
        <v>74.58922</v>
      </c>
      <c r="AD93" s="22"/>
      <c r="AE93" s="22"/>
      <c r="AF93" s="22"/>
      <c r="AG93" s="22"/>
      <c r="AH93" s="20">
        <f>9.6985+27.94123+89.9392</f>
        <v>127.57893</v>
      </c>
      <c r="AI93" s="4">
        <v>89.9392</v>
      </c>
      <c r="AJ93" s="22">
        <v>37.63973</v>
      </c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4"/>
      <c r="BA93" s="4"/>
      <c r="BB93" s="4"/>
      <c r="BC93" s="22"/>
      <c r="BD93" s="22"/>
      <c r="BE93" s="22"/>
      <c r="BF93" s="22">
        <v>266.04886</v>
      </c>
      <c r="BG93" s="22">
        <v>166.34384</v>
      </c>
      <c r="BH93" s="22"/>
      <c r="BI93" s="22"/>
      <c r="BJ93" s="22"/>
      <c r="BK93" s="22"/>
      <c r="BL93" s="22"/>
      <c r="BM93" s="22"/>
      <c r="BN93" s="22"/>
      <c r="BO93" s="4"/>
      <c r="BP93" s="4"/>
      <c r="BQ93" s="4"/>
      <c r="BR93" s="4"/>
      <c r="BS93" s="4"/>
      <c r="BT93" s="22"/>
      <c r="BU93" s="24"/>
    </row>
    <row r="94" spans="1:73" ht="73.5" customHeight="1" outlineLevel="2">
      <c r="A94" s="44" t="s">
        <v>422</v>
      </c>
      <c r="B94" s="26" t="s">
        <v>158</v>
      </c>
      <c r="C94" s="39">
        <f t="shared" si="12"/>
        <v>10954.01712</v>
      </c>
      <c r="D94" s="1">
        <f t="shared" si="10"/>
        <v>4671.71469</v>
      </c>
      <c r="E94" s="1">
        <f t="shared" si="11"/>
        <v>6282.30243</v>
      </c>
      <c r="F94" s="22"/>
      <c r="G94" s="22"/>
      <c r="H94" s="22"/>
      <c r="I94" s="22"/>
      <c r="J94" s="22">
        <v>510.63388</v>
      </c>
      <c r="K94" s="22">
        <v>210.51846</v>
      </c>
      <c r="L94" s="22">
        <f>842.42224+12.7199</f>
        <v>855.14214</v>
      </c>
      <c r="M94" s="2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22">
        <v>60.81526</v>
      </c>
      <c r="AA94" s="4">
        <v>83.592</v>
      </c>
      <c r="AB94" s="23">
        <v>350.99076</v>
      </c>
      <c r="AC94" s="4">
        <v>185.07451</v>
      </c>
      <c r="AD94" s="22"/>
      <c r="AE94" s="22"/>
      <c r="AF94" s="22"/>
      <c r="AG94" s="22"/>
      <c r="AH94" s="20">
        <f>198.2926+261.98365</f>
        <v>460.27625</v>
      </c>
      <c r="AI94" s="4">
        <v>261.98365</v>
      </c>
      <c r="AJ94" s="22">
        <v>198.2926</v>
      </c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>
        <v>2107.68583</v>
      </c>
      <c r="AZ94" s="4">
        <v>2041.55258</v>
      </c>
      <c r="BA94" s="4"/>
      <c r="BB94" s="4"/>
      <c r="BC94" s="22"/>
      <c r="BD94" s="22"/>
      <c r="BE94" s="22">
        <v>1420.77486</v>
      </c>
      <c r="BF94" s="22">
        <v>1641.58896</v>
      </c>
      <c r="BG94" s="22">
        <v>1025.37163</v>
      </c>
      <c r="BH94" s="22"/>
      <c r="BI94" s="22"/>
      <c r="BJ94" s="22"/>
      <c r="BK94" s="22"/>
      <c r="BL94" s="22"/>
      <c r="BM94" s="22"/>
      <c r="BN94" s="22"/>
      <c r="BO94" s="4"/>
      <c r="BP94" s="4"/>
      <c r="BQ94" s="4"/>
      <c r="BR94" s="4"/>
      <c r="BS94" s="4"/>
      <c r="BT94" s="22"/>
      <c r="BU94" s="24"/>
    </row>
    <row r="95" spans="1:73" ht="73.5" customHeight="1" outlineLevel="2">
      <c r="A95" s="44" t="s">
        <v>422</v>
      </c>
      <c r="B95" s="26" t="s">
        <v>190</v>
      </c>
      <c r="C95" s="39">
        <f t="shared" si="12"/>
        <v>12523.54392</v>
      </c>
      <c r="D95" s="1">
        <f t="shared" si="10"/>
        <v>5418.02166</v>
      </c>
      <c r="E95" s="1">
        <f t="shared" si="11"/>
        <v>7105.522259999999</v>
      </c>
      <c r="F95" s="22"/>
      <c r="G95" s="22"/>
      <c r="H95" s="22"/>
      <c r="I95" s="22"/>
      <c r="J95" s="22"/>
      <c r="K95" s="22"/>
      <c r="L95" s="22">
        <v>844.49401</v>
      </c>
      <c r="M95" s="22"/>
      <c r="N95" s="4"/>
      <c r="O95" s="4"/>
      <c r="P95" s="4">
        <v>860.28656</v>
      </c>
      <c r="Q95" s="4"/>
      <c r="R95" s="4"/>
      <c r="S95" s="4"/>
      <c r="T95" s="4"/>
      <c r="U95" s="4"/>
      <c r="V95" s="4"/>
      <c r="W95" s="4"/>
      <c r="X95" s="4"/>
      <c r="Y95" s="4"/>
      <c r="Z95" s="22">
        <v>100.77957</v>
      </c>
      <c r="AA95" s="4">
        <v>138.51</v>
      </c>
      <c r="AB95" s="23">
        <v>1244.04887</v>
      </c>
      <c r="AC95" s="4">
        <v>475.97247</v>
      </c>
      <c r="AD95" s="22"/>
      <c r="AE95" s="22"/>
      <c r="AF95" s="22"/>
      <c r="AG95" s="22"/>
      <c r="AH95" s="20">
        <f>395.0514+394.28775</f>
        <v>789.33915</v>
      </c>
      <c r="AI95" s="4">
        <v>394.28775</v>
      </c>
      <c r="AJ95" s="22">
        <v>395.0514</v>
      </c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>
        <v>1602.61212</v>
      </c>
      <c r="AZ95" s="4">
        <v>297.49824</v>
      </c>
      <c r="BA95" s="4"/>
      <c r="BB95" s="4"/>
      <c r="BC95" s="22"/>
      <c r="BD95" s="22">
        <v>531.9132</v>
      </c>
      <c r="BE95" s="22">
        <v>1623.444</v>
      </c>
      <c r="BF95" s="22">
        <v>2470.5811</v>
      </c>
      <c r="BG95" s="22">
        <v>1544.06463</v>
      </c>
      <c r="BH95" s="22"/>
      <c r="BI95" s="22"/>
      <c r="BJ95" s="22"/>
      <c r="BK95" s="22"/>
      <c r="BL95" s="22"/>
      <c r="BM95" s="22"/>
      <c r="BN95" s="22"/>
      <c r="BO95" s="4"/>
      <c r="BP95" s="4"/>
      <c r="BQ95" s="4"/>
      <c r="BR95" s="4"/>
      <c r="BS95" s="4"/>
      <c r="BT95" s="22"/>
      <c r="BU95" s="24"/>
    </row>
    <row r="96" spans="1:73" ht="73.5" customHeight="1" outlineLevel="2">
      <c r="A96" s="44" t="s">
        <v>422</v>
      </c>
      <c r="B96" s="26" t="s">
        <v>870</v>
      </c>
      <c r="C96" s="39">
        <f t="shared" si="12"/>
        <v>5351.59139</v>
      </c>
      <c r="D96" s="1">
        <f t="shared" si="10"/>
        <v>2731.08533</v>
      </c>
      <c r="E96" s="1">
        <f t="shared" si="11"/>
        <v>2620.50606</v>
      </c>
      <c r="F96" s="22"/>
      <c r="G96" s="22"/>
      <c r="H96" s="22"/>
      <c r="I96" s="22"/>
      <c r="J96" s="22">
        <v>462.76707</v>
      </c>
      <c r="K96" s="22">
        <v>105.41221</v>
      </c>
      <c r="L96" s="22"/>
      <c r="M96" s="22"/>
      <c r="N96" s="4"/>
      <c r="O96" s="4"/>
      <c r="P96" s="4"/>
      <c r="Q96" s="4"/>
      <c r="R96" s="4">
        <v>49.20877</v>
      </c>
      <c r="S96" s="4">
        <v>26.84128</v>
      </c>
      <c r="T96" s="4"/>
      <c r="U96" s="4"/>
      <c r="V96" s="4"/>
      <c r="W96" s="4"/>
      <c r="X96" s="4"/>
      <c r="Y96" s="4"/>
      <c r="Z96" s="22"/>
      <c r="AA96" s="4"/>
      <c r="AB96" s="23">
        <v>501.49123</v>
      </c>
      <c r="AC96" s="4">
        <v>396.25524</v>
      </c>
      <c r="AD96" s="22"/>
      <c r="AE96" s="22"/>
      <c r="AF96" s="22"/>
      <c r="AG96" s="22"/>
      <c r="AH96" s="20">
        <f>280.31363+217.83765</f>
        <v>498.15128</v>
      </c>
      <c r="AI96" s="4">
        <v>217.83765</v>
      </c>
      <c r="AJ96" s="22">
        <v>280.31363</v>
      </c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4"/>
      <c r="BA96" s="4"/>
      <c r="BB96" s="4"/>
      <c r="BC96" s="22"/>
      <c r="BD96" s="22"/>
      <c r="BE96" s="22">
        <v>521.5</v>
      </c>
      <c r="BF96" s="22">
        <v>1717.61826</v>
      </c>
      <c r="BG96" s="22">
        <v>1072.34605</v>
      </c>
      <c r="BH96" s="22"/>
      <c r="BI96" s="22"/>
      <c r="BJ96" s="22"/>
      <c r="BK96" s="22"/>
      <c r="BL96" s="22"/>
      <c r="BM96" s="22"/>
      <c r="BN96" s="22"/>
      <c r="BO96" s="4"/>
      <c r="BP96" s="4"/>
      <c r="BQ96" s="4"/>
      <c r="BR96" s="4"/>
      <c r="BS96" s="4"/>
      <c r="BT96" s="22"/>
      <c r="BU96" s="24"/>
    </row>
    <row r="97" spans="1:73" ht="73.5" customHeight="1" outlineLevel="2">
      <c r="A97" s="44" t="s">
        <v>422</v>
      </c>
      <c r="B97" s="26" t="s">
        <v>871</v>
      </c>
      <c r="C97" s="39">
        <f t="shared" si="12"/>
        <v>791.52899</v>
      </c>
      <c r="D97" s="1">
        <f t="shared" si="10"/>
        <v>169.29927</v>
      </c>
      <c r="E97" s="1">
        <f t="shared" si="11"/>
        <v>622.22972</v>
      </c>
      <c r="F97" s="22"/>
      <c r="G97" s="22"/>
      <c r="H97" s="22"/>
      <c r="I97" s="22"/>
      <c r="J97" s="22"/>
      <c r="K97" s="22">
        <v>9.94356</v>
      </c>
      <c r="L97" s="22">
        <f>437.22041+17.66873</f>
        <v>454.88914</v>
      </c>
      <c r="M97" s="2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22">
        <v>20.85095</v>
      </c>
      <c r="AA97" s="4">
        <v>28.6335</v>
      </c>
      <c r="AB97" s="23">
        <v>50.50374</v>
      </c>
      <c r="AC97" s="4">
        <v>27.97096</v>
      </c>
      <c r="AD97" s="22"/>
      <c r="AE97" s="22"/>
      <c r="AF97" s="22"/>
      <c r="AG97" s="22"/>
      <c r="AH97" s="20">
        <f>17.12527+22.4848</f>
        <v>39.61007</v>
      </c>
      <c r="AI97" s="4">
        <v>22.4848</v>
      </c>
      <c r="AJ97" s="22">
        <v>17.12527</v>
      </c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4"/>
      <c r="BA97" s="4"/>
      <c r="BB97" s="4"/>
      <c r="BC97" s="22"/>
      <c r="BD97" s="22"/>
      <c r="BE97" s="22"/>
      <c r="BF97" s="22">
        <v>97.94458</v>
      </c>
      <c r="BG97" s="22">
        <v>61.18249</v>
      </c>
      <c r="BH97" s="22"/>
      <c r="BI97" s="22"/>
      <c r="BJ97" s="22"/>
      <c r="BK97" s="22"/>
      <c r="BL97" s="22"/>
      <c r="BM97" s="22"/>
      <c r="BN97" s="22"/>
      <c r="BO97" s="4"/>
      <c r="BP97" s="4"/>
      <c r="BQ97" s="4"/>
      <c r="BR97" s="4"/>
      <c r="BS97" s="4"/>
      <c r="BT97" s="22"/>
      <c r="BU97" s="24"/>
    </row>
    <row r="98" spans="1:73" ht="73.5" customHeight="1" outlineLevel="2">
      <c r="A98" s="44" t="s">
        <v>422</v>
      </c>
      <c r="B98" s="26" t="s">
        <v>138</v>
      </c>
      <c r="C98" s="39">
        <f t="shared" si="12"/>
        <v>513.68647</v>
      </c>
      <c r="D98" s="1">
        <f t="shared" si="10"/>
        <v>275.34424</v>
      </c>
      <c r="E98" s="1">
        <f t="shared" si="11"/>
        <v>238.34223</v>
      </c>
      <c r="F98" s="22"/>
      <c r="G98" s="22"/>
      <c r="H98" s="22"/>
      <c r="I98" s="22"/>
      <c r="J98" s="22"/>
      <c r="K98" s="22"/>
      <c r="L98" s="22"/>
      <c r="M98" s="2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22"/>
      <c r="AA98" s="4">
        <v>52.164</v>
      </c>
      <c r="AB98" s="23">
        <v>102.53701</v>
      </c>
      <c r="AC98" s="4">
        <v>46.61826</v>
      </c>
      <c r="AD98" s="22"/>
      <c r="AE98" s="22"/>
      <c r="AF98" s="22"/>
      <c r="AG98" s="22"/>
      <c r="AH98" s="20">
        <v>31.54655</v>
      </c>
      <c r="AI98" s="4"/>
      <c r="AJ98" s="22">
        <v>31.54655</v>
      </c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4"/>
      <c r="BA98" s="4"/>
      <c r="BB98" s="4"/>
      <c r="BC98" s="22"/>
      <c r="BD98" s="22"/>
      <c r="BE98" s="22"/>
      <c r="BF98" s="22">
        <v>172.80723</v>
      </c>
      <c r="BG98" s="22">
        <v>108.01342</v>
      </c>
      <c r="BH98" s="22"/>
      <c r="BI98" s="22"/>
      <c r="BJ98" s="22"/>
      <c r="BK98" s="22"/>
      <c r="BL98" s="22"/>
      <c r="BM98" s="22"/>
      <c r="BN98" s="22"/>
      <c r="BO98" s="4"/>
      <c r="BP98" s="4"/>
      <c r="BQ98" s="4"/>
      <c r="BR98" s="4"/>
      <c r="BS98" s="4"/>
      <c r="BT98" s="22"/>
      <c r="BU98" s="24"/>
    </row>
    <row r="99" spans="1:73" ht="73.5" customHeight="1" outlineLevel="2">
      <c r="A99" s="44" t="s">
        <v>422</v>
      </c>
      <c r="B99" s="26" t="s">
        <v>118</v>
      </c>
      <c r="C99" s="39">
        <f t="shared" si="12"/>
        <v>1677.88305</v>
      </c>
      <c r="D99" s="1">
        <f t="shared" si="10"/>
        <v>343.83380999999997</v>
      </c>
      <c r="E99" s="1">
        <f t="shared" si="11"/>
        <v>1334.04924</v>
      </c>
      <c r="F99" s="22"/>
      <c r="G99" s="22"/>
      <c r="H99" s="22"/>
      <c r="I99" s="22"/>
      <c r="J99" s="22"/>
      <c r="K99" s="22"/>
      <c r="L99" s="22">
        <v>441.84548</v>
      </c>
      <c r="M99" s="2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22">
        <v>86.87894</v>
      </c>
      <c r="AA99" s="4">
        <v>119.4345</v>
      </c>
      <c r="AB99" s="23">
        <v>89.01097</v>
      </c>
      <c r="AC99" s="4">
        <v>39.62552</v>
      </c>
      <c r="AD99" s="22"/>
      <c r="AE99" s="22"/>
      <c r="AF99" s="22"/>
      <c r="AG99" s="22"/>
      <c r="AH99" s="20">
        <f>24.33591+44.9696</f>
        <v>69.30551</v>
      </c>
      <c r="AI99" s="4">
        <v>44.9696</v>
      </c>
      <c r="AJ99" s="22">
        <v>24.33591</v>
      </c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4"/>
      <c r="BA99" s="4"/>
      <c r="BB99" s="4"/>
      <c r="BC99" s="22"/>
      <c r="BD99" s="22"/>
      <c r="BE99" s="22">
        <v>559.084</v>
      </c>
      <c r="BF99" s="22">
        <v>167.9439</v>
      </c>
      <c r="BG99" s="22">
        <v>104.75423</v>
      </c>
      <c r="BH99" s="22"/>
      <c r="BI99" s="22"/>
      <c r="BJ99" s="22"/>
      <c r="BK99" s="22"/>
      <c r="BL99" s="22"/>
      <c r="BM99" s="22"/>
      <c r="BN99" s="22"/>
      <c r="BO99" s="4"/>
      <c r="BP99" s="4"/>
      <c r="BQ99" s="4"/>
      <c r="BR99" s="4"/>
      <c r="BS99" s="4"/>
      <c r="BT99" s="22"/>
      <c r="BU99" s="24"/>
    </row>
    <row r="100" spans="1:73" ht="73.5" customHeight="1" outlineLevel="2">
      <c r="A100" s="44" t="s">
        <v>422</v>
      </c>
      <c r="B100" s="26" t="s">
        <v>872</v>
      </c>
      <c r="C100" s="39">
        <f t="shared" si="12"/>
        <v>2352.72137</v>
      </c>
      <c r="D100" s="1">
        <f t="shared" si="10"/>
        <v>781.7582600000001</v>
      </c>
      <c r="E100" s="1">
        <f t="shared" si="11"/>
        <v>1570.96311</v>
      </c>
      <c r="F100" s="22"/>
      <c r="G100" s="22"/>
      <c r="H100" s="22"/>
      <c r="I100" s="22"/>
      <c r="J100" s="22">
        <v>86.49482</v>
      </c>
      <c r="K100" s="22">
        <v>14.998</v>
      </c>
      <c r="L100" s="22">
        <f>502.45586+9.11032</f>
        <v>511.56618</v>
      </c>
      <c r="M100" s="22"/>
      <c r="N100" s="4"/>
      <c r="O100" s="4"/>
      <c r="P100" s="4"/>
      <c r="Q100" s="4"/>
      <c r="R100" s="4">
        <v>42.90092</v>
      </c>
      <c r="S100" s="4">
        <v>38.40936</v>
      </c>
      <c r="T100" s="4"/>
      <c r="U100" s="4"/>
      <c r="V100" s="4"/>
      <c r="W100" s="4"/>
      <c r="X100" s="4"/>
      <c r="Y100" s="4"/>
      <c r="Z100" s="22"/>
      <c r="AA100" s="4">
        <v>47.7495</v>
      </c>
      <c r="AB100" s="23">
        <v>239.69549</v>
      </c>
      <c r="AC100" s="4">
        <v>104.89109</v>
      </c>
      <c r="AD100" s="22"/>
      <c r="AE100" s="22"/>
      <c r="AF100" s="22"/>
      <c r="AG100" s="22"/>
      <c r="AH100" s="20">
        <f>68.50108+91.07535</f>
        <v>159.57643000000002</v>
      </c>
      <c r="AI100" s="4">
        <v>91.07535</v>
      </c>
      <c r="AJ100" s="22">
        <v>68.50108</v>
      </c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4"/>
      <c r="BA100" s="4"/>
      <c r="BB100" s="4"/>
      <c r="BC100" s="22"/>
      <c r="BD100" s="22">
        <v>436.0853</v>
      </c>
      <c r="BE100" s="22"/>
      <c r="BF100" s="22">
        <v>412.66703</v>
      </c>
      <c r="BG100" s="22">
        <v>257.68725</v>
      </c>
      <c r="BH100" s="22"/>
      <c r="BI100" s="22"/>
      <c r="BJ100" s="22"/>
      <c r="BK100" s="22"/>
      <c r="BL100" s="22"/>
      <c r="BM100" s="22"/>
      <c r="BN100" s="22"/>
      <c r="BO100" s="4"/>
      <c r="BP100" s="4"/>
      <c r="BQ100" s="4"/>
      <c r="BR100" s="4"/>
      <c r="BS100" s="4"/>
      <c r="BT100" s="22"/>
      <c r="BU100" s="24"/>
    </row>
    <row r="101" spans="1:73" ht="73.5" customHeight="1" outlineLevel="2">
      <c r="A101" s="44" t="s">
        <v>422</v>
      </c>
      <c r="B101" s="45" t="s">
        <v>629</v>
      </c>
      <c r="C101" s="39">
        <f t="shared" si="12"/>
        <v>26711.44682</v>
      </c>
      <c r="D101" s="1">
        <f t="shared" si="10"/>
        <v>9884.000670000001</v>
      </c>
      <c r="E101" s="1">
        <f t="shared" si="11"/>
        <v>16827.44615</v>
      </c>
      <c r="F101" s="22"/>
      <c r="G101" s="22"/>
      <c r="H101" s="22"/>
      <c r="I101" s="22"/>
      <c r="J101" s="22"/>
      <c r="K101" s="22"/>
      <c r="L101" s="22">
        <f>5.3443+46.79895+2.75781+667.41542</f>
        <v>722.3164800000001</v>
      </c>
      <c r="M101" s="22"/>
      <c r="N101" s="4"/>
      <c r="O101" s="4"/>
      <c r="P101" s="4">
        <v>685.60716</v>
      </c>
      <c r="Q101" s="4"/>
      <c r="R101" s="4">
        <v>1694.42328</v>
      </c>
      <c r="S101" s="4">
        <v>1732.00345</v>
      </c>
      <c r="T101" s="4"/>
      <c r="U101" s="4"/>
      <c r="V101" s="4"/>
      <c r="W101" s="4"/>
      <c r="X101" s="4"/>
      <c r="Y101" s="4"/>
      <c r="Z101" s="22">
        <v>32.82093</v>
      </c>
      <c r="AA101" s="4">
        <v>34.515</v>
      </c>
      <c r="AB101" s="23">
        <v>3112.78984</v>
      </c>
      <c r="AC101" s="4">
        <v>1001.3603</v>
      </c>
      <c r="AD101" s="22"/>
      <c r="AE101" s="22"/>
      <c r="AF101" s="22"/>
      <c r="AG101" s="22"/>
      <c r="AH101" s="20">
        <f>297.4389+395.0514+186.2266+791.57215</f>
        <v>1670.2890499999999</v>
      </c>
      <c r="AI101" s="4">
        <v>977.79875</v>
      </c>
      <c r="AJ101" s="22">
        <v>692.4903</v>
      </c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>
        <v>700.30714</v>
      </c>
      <c r="AZ101" s="4">
        <v>576.21046</v>
      </c>
      <c r="BA101" s="4"/>
      <c r="BB101" s="4"/>
      <c r="BC101" s="22"/>
      <c r="BD101" s="22"/>
      <c r="BE101" s="22">
        <v>7694.8307</v>
      </c>
      <c r="BF101" s="22">
        <v>4343.65948</v>
      </c>
      <c r="BG101" s="22">
        <v>2710.31355</v>
      </c>
      <c r="BH101" s="22"/>
      <c r="BI101" s="22"/>
      <c r="BJ101" s="22"/>
      <c r="BK101" s="22"/>
      <c r="BL101" s="22"/>
      <c r="BM101" s="22"/>
      <c r="BN101" s="22"/>
      <c r="BO101" s="4"/>
      <c r="BP101" s="4"/>
      <c r="BQ101" s="4"/>
      <c r="BR101" s="4"/>
      <c r="BS101" s="4"/>
      <c r="BT101" s="22"/>
      <c r="BU101" s="24"/>
    </row>
    <row r="102" spans="1:73" ht="73.5" customHeight="1" outlineLevel="2">
      <c r="A102" s="44" t="s">
        <v>422</v>
      </c>
      <c r="B102" s="26" t="s">
        <v>873</v>
      </c>
      <c r="C102" s="39">
        <f t="shared" si="12"/>
        <v>4486.121450000001</v>
      </c>
      <c r="D102" s="1">
        <f t="shared" si="10"/>
        <v>1990.8934000000002</v>
      </c>
      <c r="E102" s="1">
        <f t="shared" si="11"/>
        <v>2495.22805</v>
      </c>
      <c r="F102" s="22"/>
      <c r="G102" s="22"/>
      <c r="H102" s="22"/>
      <c r="I102" s="22"/>
      <c r="J102" s="22">
        <v>115.05711</v>
      </c>
      <c r="K102" s="22">
        <v>20.95678</v>
      </c>
      <c r="L102" s="22">
        <f>625.9094+11.08246</f>
        <v>636.99186</v>
      </c>
      <c r="M102" s="2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22">
        <v>17.37579</v>
      </c>
      <c r="AA102" s="4"/>
      <c r="AB102" s="23">
        <v>635.64398</v>
      </c>
      <c r="AC102" s="4">
        <v>282.0405</v>
      </c>
      <c r="AD102" s="22"/>
      <c r="AE102" s="22"/>
      <c r="AF102" s="22"/>
      <c r="AG102" s="22"/>
      <c r="AH102" s="20">
        <f>185.67398+245.49215</f>
        <v>431.16613</v>
      </c>
      <c r="AI102" s="4">
        <v>245.49215</v>
      </c>
      <c r="AJ102" s="22">
        <v>185.67398</v>
      </c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4"/>
      <c r="BA102" s="4"/>
      <c r="BB102" s="4"/>
      <c r="BC102" s="22"/>
      <c r="BD102" s="22"/>
      <c r="BE102" s="22">
        <v>361.15822</v>
      </c>
      <c r="BF102" s="22">
        <v>1222.81652</v>
      </c>
      <c r="BG102" s="22">
        <v>762.91456</v>
      </c>
      <c r="BH102" s="22"/>
      <c r="BI102" s="22"/>
      <c r="BJ102" s="22"/>
      <c r="BK102" s="22"/>
      <c r="BL102" s="22"/>
      <c r="BM102" s="22"/>
      <c r="BN102" s="22"/>
      <c r="BO102" s="4"/>
      <c r="BP102" s="4"/>
      <c r="BQ102" s="4"/>
      <c r="BR102" s="4"/>
      <c r="BS102" s="4"/>
      <c r="BT102" s="22"/>
      <c r="BU102" s="24"/>
    </row>
    <row r="103" spans="1:73" ht="73.5" customHeight="1" outlineLevel="2">
      <c r="A103" s="44" t="s">
        <v>422</v>
      </c>
      <c r="B103" s="26" t="s">
        <v>302</v>
      </c>
      <c r="C103" s="39">
        <f t="shared" si="12"/>
        <v>882.82485</v>
      </c>
      <c r="D103" s="1">
        <f t="shared" si="10"/>
        <v>184.05694</v>
      </c>
      <c r="E103" s="1">
        <f t="shared" si="11"/>
        <v>698.76791</v>
      </c>
      <c r="F103" s="22"/>
      <c r="G103" s="22"/>
      <c r="H103" s="22"/>
      <c r="I103" s="22"/>
      <c r="J103" s="22"/>
      <c r="K103" s="22"/>
      <c r="L103" s="22">
        <f>500.50464+9.11032</f>
        <v>509.61496</v>
      </c>
      <c r="M103" s="2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22">
        <v>5.21274</v>
      </c>
      <c r="AA103" s="4">
        <v>7.1685</v>
      </c>
      <c r="AB103" s="23">
        <v>40.63486</v>
      </c>
      <c r="AC103" s="4">
        <v>22.60986</v>
      </c>
      <c r="AD103" s="22"/>
      <c r="AE103" s="22"/>
      <c r="AF103" s="22"/>
      <c r="AG103" s="22"/>
      <c r="AH103" s="20">
        <f>27.94123+44.9696</f>
        <v>72.91083</v>
      </c>
      <c r="AI103" s="4">
        <v>44.9696</v>
      </c>
      <c r="AJ103" s="22">
        <v>27.94123</v>
      </c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4"/>
      <c r="BA103" s="4"/>
      <c r="BB103" s="4"/>
      <c r="BC103" s="22"/>
      <c r="BD103" s="22"/>
      <c r="BE103" s="22"/>
      <c r="BF103" s="22">
        <v>138.20934</v>
      </c>
      <c r="BG103" s="22">
        <v>86.46376</v>
      </c>
      <c r="BH103" s="22"/>
      <c r="BI103" s="22"/>
      <c r="BJ103" s="22"/>
      <c r="BK103" s="22"/>
      <c r="BL103" s="22"/>
      <c r="BM103" s="22"/>
      <c r="BN103" s="22"/>
      <c r="BO103" s="4"/>
      <c r="BP103" s="4"/>
      <c r="BQ103" s="4"/>
      <c r="BR103" s="4"/>
      <c r="BS103" s="4"/>
      <c r="BT103" s="22"/>
      <c r="BU103" s="24"/>
    </row>
    <row r="104" spans="1:73" ht="73.5" customHeight="1" outlineLevel="2">
      <c r="A104" s="44" t="s">
        <v>422</v>
      </c>
      <c r="B104" s="26" t="s">
        <v>351</v>
      </c>
      <c r="C104" s="39">
        <f t="shared" si="12"/>
        <v>1737.3580500000003</v>
      </c>
      <c r="D104" s="1">
        <f t="shared" si="10"/>
        <v>698.9632</v>
      </c>
      <c r="E104" s="1">
        <f t="shared" si="11"/>
        <v>1038.3948500000001</v>
      </c>
      <c r="F104" s="22"/>
      <c r="G104" s="22"/>
      <c r="H104" s="22"/>
      <c r="I104" s="22"/>
      <c r="J104" s="22"/>
      <c r="K104" s="22"/>
      <c r="L104" s="22"/>
      <c r="M104" s="2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22"/>
      <c r="AA104" s="4">
        <v>31.0635</v>
      </c>
      <c r="AB104" s="23">
        <v>241.12029</v>
      </c>
      <c r="AC104" s="4">
        <v>116.54566</v>
      </c>
      <c r="AD104" s="22"/>
      <c r="AE104" s="22"/>
      <c r="AF104" s="22"/>
      <c r="AG104" s="22"/>
      <c r="AH104" s="20">
        <f>79.31704+107.56685</f>
        <v>186.88389</v>
      </c>
      <c r="AI104" s="4">
        <v>107.56685</v>
      </c>
      <c r="AJ104" s="22">
        <v>79.31704</v>
      </c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4"/>
      <c r="BA104" s="4"/>
      <c r="BB104" s="4"/>
      <c r="BC104" s="22"/>
      <c r="BD104" s="22"/>
      <c r="BE104" s="22">
        <v>417.89579</v>
      </c>
      <c r="BF104" s="22">
        <v>457.84291</v>
      </c>
      <c r="BG104" s="22">
        <v>286.00601</v>
      </c>
      <c r="BH104" s="22"/>
      <c r="BI104" s="22"/>
      <c r="BJ104" s="22"/>
      <c r="BK104" s="22"/>
      <c r="BL104" s="22"/>
      <c r="BM104" s="22"/>
      <c r="BN104" s="22"/>
      <c r="BO104" s="4"/>
      <c r="BP104" s="4"/>
      <c r="BQ104" s="4"/>
      <c r="BR104" s="4"/>
      <c r="BS104" s="4"/>
      <c r="BT104" s="22"/>
      <c r="BU104" s="24"/>
    </row>
    <row r="105" spans="1:73" ht="73.5" customHeight="1" outlineLevel="2">
      <c r="A105" s="44" t="s">
        <v>422</v>
      </c>
      <c r="B105" s="26" t="s">
        <v>529</v>
      </c>
      <c r="C105" s="39">
        <f t="shared" si="12"/>
        <v>349.71079</v>
      </c>
      <c r="D105" s="1">
        <f t="shared" si="10"/>
        <v>201.43697</v>
      </c>
      <c r="E105" s="1">
        <f t="shared" si="11"/>
        <v>148.27382</v>
      </c>
      <c r="F105" s="22"/>
      <c r="G105" s="22"/>
      <c r="H105" s="22"/>
      <c r="I105" s="22"/>
      <c r="J105" s="22"/>
      <c r="K105" s="22"/>
      <c r="L105" s="22"/>
      <c r="M105" s="2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22"/>
      <c r="AA105" s="4"/>
      <c r="AB105" s="23">
        <v>69.55955</v>
      </c>
      <c r="AC105" s="4">
        <v>39.62552</v>
      </c>
      <c r="AD105" s="22"/>
      <c r="AE105" s="22"/>
      <c r="AF105" s="22"/>
      <c r="AG105" s="22"/>
      <c r="AH105" s="20">
        <v>26.13857</v>
      </c>
      <c r="AI105" s="4"/>
      <c r="AJ105" s="20">
        <v>26.13857</v>
      </c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4"/>
      <c r="BA105" s="4"/>
      <c r="BB105" s="4"/>
      <c r="BC105" s="22"/>
      <c r="BD105" s="22"/>
      <c r="BE105" s="22"/>
      <c r="BF105" s="22">
        <v>131.87742</v>
      </c>
      <c r="BG105" s="22">
        <v>82.50973</v>
      </c>
      <c r="BH105" s="22"/>
      <c r="BI105" s="22"/>
      <c r="BJ105" s="22"/>
      <c r="BK105" s="22"/>
      <c r="BL105" s="22"/>
      <c r="BM105" s="22"/>
      <c r="BN105" s="22"/>
      <c r="BO105" s="4"/>
      <c r="BP105" s="4"/>
      <c r="BQ105" s="4"/>
      <c r="BR105" s="4"/>
      <c r="BS105" s="4"/>
      <c r="BT105" s="22"/>
      <c r="BU105" s="24"/>
    </row>
    <row r="106" spans="1:73" ht="73.5" customHeight="1" outlineLevel="2">
      <c r="A106" s="44" t="s">
        <v>422</v>
      </c>
      <c r="B106" s="26" t="s">
        <v>119</v>
      </c>
      <c r="C106" s="39">
        <f t="shared" si="12"/>
        <v>2949.1465099999996</v>
      </c>
      <c r="D106" s="1">
        <f t="shared" si="10"/>
        <v>1174.0797499999999</v>
      </c>
      <c r="E106" s="1">
        <f t="shared" si="11"/>
        <v>1775.06676</v>
      </c>
      <c r="F106" s="22"/>
      <c r="G106" s="22"/>
      <c r="H106" s="22"/>
      <c r="I106" s="22"/>
      <c r="J106" s="22">
        <v>232.17878</v>
      </c>
      <c r="K106" s="22">
        <v>119.41741</v>
      </c>
      <c r="L106" s="22">
        <f>446.51721+7.08195</f>
        <v>453.59916</v>
      </c>
      <c r="M106" s="2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22">
        <v>29.53884</v>
      </c>
      <c r="AA106" s="4">
        <v>44.2665</v>
      </c>
      <c r="AB106" s="23">
        <v>293.95242</v>
      </c>
      <c r="AC106" s="4">
        <v>121.20749</v>
      </c>
      <c r="AD106" s="22"/>
      <c r="AE106" s="22"/>
      <c r="AF106" s="22"/>
      <c r="AG106" s="22"/>
      <c r="AH106" s="20">
        <f>105.45561+140.54985</f>
        <v>246.00545999999997</v>
      </c>
      <c r="AI106" s="4">
        <v>140.54985</v>
      </c>
      <c r="AJ106" s="22">
        <v>105.45561</v>
      </c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4"/>
      <c r="BA106" s="4"/>
      <c r="BB106" s="4"/>
      <c r="BC106" s="22"/>
      <c r="BD106" s="22">
        <v>86.3184</v>
      </c>
      <c r="BE106" s="22">
        <v>318</v>
      </c>
      <c r="BF106" s="22">
        <v>618.40971</v>
      </c>
      <c r="BG106" s="22">
        <v>386.25234</v>
      </c>
      <c r="BH106" s="22"/>
      <c r="BI106" s="22"/>
      <c r="BJ106" s="22"/>
      <c r="BK106" s="22"/>
      <c r="BL106" s="22"/>
      <c r="BM106" s="22"/>
      <c r="BN106" s="22"/>
      <c r="BO106" s="4"/>
      <c r="BP106" s="4"/>
      <c r="BQ106" s="4"/>
      <c r="BR106" s="4"/>
      <c r="BS106" s="4"/>
      <c r="BT106" s="22"/>
      <c r="BU106" s="24"/>
    </row>
    <row r="107" spans="1:73" ht="73.5" customHeight="1" outlineLevel="2">
      <c r="A107" s="44" t="s">
        <v>422</v>
      </c>
      <c r="B107" s="26" t="s">
        <v>267</v>
      </c>
      <c r="C107" s="39">
        <f t="shared" si="12"/>
        <v>723.8929599999999</v>
      </c>
      <c r="D107" s="1">
        <f t="shared" si="10"/>
        <v>107.85337000000001</v>
      </c>
      <c r="E107" s="1">
        <f t="shared" si="11"/>
        <v>616.0395899999999</v>
      </c>
      <c r="F107" s="22"/>
      <c r="G107" s="22"/>
      <c r="H107" s="22"/>
      <c r="I107" s="22"/>
      <c r="J107" s="22"/>
      <c r="K107" s="22"/>
      <c r="L107" s="22">
        <f>506.52988+10.27465</f>
        <v>516.80453</v>
      </c>
      <c r="M107" s="2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22"/>
      <c r="AA107" s="4"/>
      <c r="AB107" s="23">
        <v>40.33285</v>
      </c>
      <c r="AC107" s="4">
        <v>20.97822</v>
      </c>
      <c r="AD107" s="22"/>
      <c r="AE107" s="22"/>
      <c r="AF107" s="22"/>
      <c r="AG107" s="22"/>
      <c r="AH107" s="20">
        <f>13.51995+22.4848</f>
        <v>36.00475</v>
      </c>
      <c r="AI107" s="4">
        <v>22.4848</v>
      </c>
      <c r="AJ107" s="22">
        <v>13.51995</v>
      </c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4"/>
      <c r="BA107" s="4"/>
      <c r="BB107" s="4"/>
      <c r="BC107" s="22"/>
      <c r="BD107" s="22"/>
      <c r="BE107" s="22"/>
      <c r="BF107" s="22">
        <v>67.52052</v>
      </c>
      <c r="BG107" s="22">
        <v>42.25209</v>
      </c>
      <c r="BH107" s="22"/>
      <c r="BI107" s="22"/>
      <c r="BJ107" s="22"/>
      <c r="BK107" s="22"/>
      <c r="BL107" s="22"/>
      <c r="BM107" s="22"/>
      <c r="BN107" s="22"/>
      <c r="BO107" s="4"/>
      <c r="BP107" s="4"/>
      <c r="BQ107" s="4"/>
      <c r="BR107" s="4"/>
      <c r="BS107" s="4"/>
      <c r="BT107" s="22"/>
      <c r="BU107" s="24"/>
    </row>
    <row r="108" spans="1:73" ht="73.5" customHeight="1" outlineLevel="2">
      <c r="A108" s="44" t="s">
        <v>422</v>
      </c>
      <c r="B108" s="26" t="s">
        <v>268</v>
      </c>
      <c r="C108" s="39">
        <f t="shared" si="12"/>
        <v>2583.8189899999998</v>
      </c>
      <c r="D108" s="1">
        <f t="shared" si="10"/>
        <v>729.08112</v>
      </c>
      <c r="E108" s="1">
        <f t="shared" si="11"/>
        <v>1854.73787</v>
      </c>
      <c r="F108" s="22"/>
      <c r="G108" s="22"/>
      <c r="H108" s="22"/>
      <c r="I108" s="22"/>
      <c r="J108" s="22">
        <v>104.27411</v>
      </c>
      <c r="K108" s="22">
        <v>27.48424</v>
      </c>
      <c r="L108" s="22">
        <f>700.82482+14.70975</f>
        <v>715.53457</v>
      </c>
      <c r="M108" s="22"/>
      <c r="N108" s="4"/>
      <c r="O108" s="4"/>
      <c r="P108" s="4"/>
      <c r="Q108" s="4"/>
      <c r="R108" s="4">
        <v>36.88033</v>
      </c>
      <c r="S108" s="4">
        <v>32.20395</v>
      </c>
      <c r="T108" s="4"/>
      <c r="U108" s="4"/>
      <c r="V108" s="4"/>
      <c r="W108" s="4"/>
      <c r="X108" s="4"/>
      <c r="Y108" s="4"/>
      <c r="Z108" s="22"/>
      <c r="AA108" s="4">
        <v>35.8425</v>
      </c>
      <c r="AB108" s="23">
        <v>112.57151</v>
      </c>
      <c r="AC108" s="4">
        <v>46.61826</v>
      </c>
      <c r="AD108" s="22"/>
      <c r="AE108" s="22"/>
      <c r="AF108" s="22"/>
      <c r="AG108" s="22"/>
      <c r="AH108" s="20">
        <f>68.50108+107.56685</f>
        <v>176.06793</v>
      </c>
      <c r="AI108" s="4">
        <v>107.56685</v>
      </c>
      <c r="AJ108" s="22">
        <v>68.50108</v>
      </c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4"/>
      <c r="BA108" s="4"/>
      <c r="BB108" s="4"/>
      <c r="BC108" s="22"/>
      <c r="BD108" s="22">
        <v>83.4834</v>
      </c>
      <c r="BE108" s="22">
        <v>193.6342</v>
      </c>
      <c r="BF108" s="22">
        <v>475.35517</v>
      </c>
      <c r="BG108" s="22">
        <v>296.83721</v>
      </c>
      <c r="BH108" s="22"/>
      <c r="BI108" s="22"/>
      <c r="BJ108" s="22">
        <v>247.03161</v>
      </c>
      <c r="BK108" s="22"/>
      <c r="BL108" s="22"/>
      <c r="BM108" s="22"/>
      <c r="BN108" s="22"/>
      <c r="BO108" s="4"/>
      <c r="BP108" s="4"/>
      <c r="BQ108" s="4"/>
      <c r="BR108" s="4"/>
      <c r="BS108" s="4"/>
      <c r="BT108" s="22"/>
      <c r="BU108" s="24"/>
    </row>
    <row r="109" spans="1:73" ht="73.5" customHeight="1" outlineLevel="2">
      <c r="A109" s="44" t="s">
        <v>422</v>
      </c>
      <c r="B109" s="26" t="s">
        <v>120</v>
      </c>
      <c r="C109" s="39">
        <f t="shared" si="12"/>
        <v>2269.1394099999998</v>
      </c>
      <c r="D109" s="1">
        <f t="shared" si="10"/>
        <v>885.7319699999999</v>
      </c>
      <c r="E109" s="1">
        <f t="shared" si="11"/>
        <v>1383.40744</v>
      </c>
      <c r="F109" s="22"/>
      <c r="G109" s="22"/>
      <c r="H109" s="22"/>
      <c r="I109" s="22"/>
      <c r="J109" s="22">
        <v>259.50286</v>
      </c>
      <c r="K109" s="22">
        <v>60.57587</v>
      </c>
      <c r="L109" s="22">
        <f>196.953+17.49724</f>
        <v>214.45024</v>
      </c>
      <c r="M109" s="2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22">
        <v>22.58853</v>
      </c>
      <c r="AA109" s="4"/>
      <c r="AB109" s="23">
        <v>186.31042</v>
      </c>
      <c r="AC109" s="4">
        <v>101.86091</v>
      </c>
      <c r="AD109" s="22"/>
      <c r="AE109" s="22"/>
      <c r="AF109" s="22"/>
      <c r="AG109" s="22"/>
      <c r="AH109" s="20">
        <f>73.90906+99.3211</f>
        <v>173.23016</v>
      </c>
      <c r="AI109" s="4">
        <v>99.3211</v>
      </c>
      <c r="AJ109" s="22">
        <v>73.90906</v>
      </c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4"/>
      <c r="BA109" s="4"/>
      <c r="BB109" s="4"/>
      <c r="BC109" s="22"/>
      <c r="BD109" s="22"/>
      <c r="BE109" s="22">
        <v>572.52999</v>
      </c>
      <c r="BF109" s="22">
        <v>417.33016</v>
      </c>
      <c r="BG109" s="22">
        <v>260.76027</v>
      </c>
      <c r="BH109" s="22"/>
      <c r="BI109" s="22"/>
      <c r="BJ109" s="22"/>
      <c r="BK109" s="22"/>
      <c r="BL109" s="22"/>
      <c r="BM109" s="22"/>
      <c r="BN109" s="22"/>
      <c r="BO109" s="4"/>
      <c r="BP109" s="4"/>
      <c r="BQ109" s="4"/>
      <c r="BR109" s="4"/>
      <c r="BS109" s="4"/>
      <c r="BT109" s="22"/>
      <c r="BU109" s="24"/>
    </row>
    <row r="110" spans="1:73" ht="73.5" customHeight="1" outlineLevel="2">
      <c r="A110" s="44" t="s">
        <v>422</v>
      </c>
      <c r="B110" s="26" t="s">
        <v>116</v>
      </c>
      <c r="C110" s="39">
        <f t="shared" si="12"/>
        <v>834.1158999999999</v>
      </c>
      <c r="D110" s="1">
        <f t="shared" si="10"/>
        <v>151.17112</v>
      </c>
      <c r="E110" s="1">
        <f t="shared" si="11"/>
        <v>682.9447799999999</v>
      </c>
      <c r="F110" s="22"/>
      <c r="G110" s="22"/>
      <c r="H110" s="22"/>
      <c r="I110" s="22"/>
      <c r="J110" s="22"/>
      <c r="K110" s="22"/>
      <c r="L110" s="22">
        <f>532.84219+8.89293</f>
        <v>541.7351199999999</v>
      </c>
      <c r="M110" s="2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22">
        <v>5.21274</v>
      </c>
      <c r="AA110" s="4">
        <v>7.1685</v>
      </c>
      <c r="AB110" s="23">
        <v>38.78286</v>
      </c>
      <c r="AC110" s="4">
        <v>21.91058</v>
      </c>
      <c r="AD110" s="22"/>
      <c r="AE110" s="22"/>
      <c r="AF110" s="22"/>
      <c r="AG110" s="22"/>
      <c r="AH110" s="20">
        <f>17.12527+28.106</f>
        <v>45.23127</v>
      </c>
      <c r="AI110" s="4">
        <v>28.106</v>
      </c>
      <c r="AJ110" s="22">
        <v>17.12527</v>
      </c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4"/>
      <c r="BA110" s="4"/>
      <c r="BB110" s="4"/>
      <c r="BC110" s="22"/>
      <c r="BD110" s="22"/>
      <c r="BE110" s="22"/>
      <c r="BF110" s="22">
        <v>107.17552</v>
      </c>
      <c r="BG110" s="22">
        <v>66.89931</v>
      </c>
      <c r="BH110" s="22"/>
      <c r="BI110" s="22"/>
      <c r="BJ110" s="22"/>
      <c r="BK110" s="22"/>
      <c r="BL110" s="22"/>
      <c r="BM110" s="22"/>
      <c r="BN110" s="22"/>
      <c r="BO110" s="4"/>
      <c r="BP110" s="4"/>
      <c r="BQ110" s="4"/>
      <c r="BR110" s="4"/>
      <c r="BS110" s="4"/>
      <c r="BT110" s="22"/>
      <c r="BU110" s="24"/>
    </row>
    <row r="111" spans="1:73" ht="73.5" customHeight="1" outlineLevel="2">
      <c r="A111" s="44" t="s">
        <v>422</v>
      </c>
      <c r="B111" s="26" t="s">
        <v>117</v>
      </c>
      <c r="C111" s="39">
        <f t="shared" si="12"/>
        <v>1170.2420399999999</v>
      </c>
      <c r="D111" s="1">
        <f t="shared" si="10"/>
        <v>318.11213</v>
      </c>
      <c r="E111" s="1">
        <f t="shared" si="11"/>
        <v>852.1299099999999</v>
      </c>
      <c r="F111" s="22"/>
      <c r="G111" s="22"/>
      <c r="H111" s="22"/>
      <c r="I111" s="22"/>
      <c r="J111" s="22"/>
      <c r="K111" s="22"/>
      <c r="L111" s="22">
        <f>492.42327+8.92337</f>
        <v>501.34664</v>
      </c>
      <c r="M111" s="2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22"/>
      <c r="AA111" s="4">
        <v>11.9475</v>
      </c>
      <c r="AB111" s="23">
        <v>109.52219</v>
      </c>
      <c r="AC111" s="4">
        <v>51.28009</v>
      </c>
      <c r="AD111" s="22"/>
      <c r="AE111" s="22"/>
      <c r="AF111" s="22"/>
      <c r="AG111" s="22"/>
      <c r="AH111" s="20">
        <f>39.65852+67.4544</f>
        <v>107.11292</v>
      </c>
      <c r="AI111" s="4">
        <v>67.4544</v>
      </c>
      <c r="AJ111" s="22">
        <v>39.65852</v>
      </c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4"/>
      <c r="BA111" s="4"/>
      <c r="BB111" s="4"/>
      <c r="BC111" s="22"/>
      <c r="BD111" s="22">
        <f>21.11795+15.0262</f>
        <v>36.144149999999996</v>
      </c>
      <c r="BE111" s="22"/>
      <c r="BF111" s="22">
        <v>208.58994</v>
      </c>
      <c r="BG111" s="22">
        <v>130.42811</v>
      </c>
      <c r="BH111" s="22"/>
      <c r="BI111" s="22"/>
      <c r="BJ111" s="22">
        <v>13.8705</v>
      </c>
      <c r="BK111" s="22"/>
      <c r="BL111" s="22"/>
      <c r="BM111" s="22"/>
      <c r="BN111" s="22"/>
      <c r="BO111" s="4"/>
      <c r="BP111" s="4"/>
      <c r="BQ111" s="4"/>
      <c r="BR111" s="4"/>
      <c r="BS111" s="4"/>
      <c r="BT111" s="22"/>
      <c r="BU111" s="24"/>
    </row>
    <row r="112" spans="1:73" ht="73.5" customHeight="1" outlineLevel="2">
      <c r="A112" s="44" t="s">
        <v>422</v>
      </c>
      <c r="B112" s="26" t="s">
        <v>466</v>
      </c>
      <c r="C112" s="39">
        <f t="shared" si="12"/>
        <v>539.05347</v>
      </c>
      <c r="D112" s="1">
        <f t="shared" si="10"/>
        <v>146.70367</v>
      </c>
      <c r="E112" s="1">
        <f t="shared" si="11"/>
        <v>392.34979999999996</v>
      </c>
      <c r="F112" s="22"/>
      <c r="G112" s="22"/>
      <c r="H112" s="22"/>
      <c r="I112" s="22"/>
      <c r="J112" s="22">
        <v>8.47021</v>
      </c>
      <c r="K112" s="22">
        <v>1.21735</v>
      </c>
      <c r="L112" s="22"/>
      <c r="M112" s="2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22"/>
      <c r="AA112" s="4"/>
      <c r="AB112" s="23">
        <v>52.09221</v>
      </c>
      <c r="AC112" s="4">
        <v>20.04585</v>
      </c>
      <c r="AD112" s="22"/>
      <c r="AE112" s="22"/>
      <c r="AF112" s="22"/>
      <c r="AG112" s="22"/>
      <c r="AH112" s="20">
        <f>9.91463+7.87365</f>
        <v>17.78828</v>
      </c>
      <c r="AI112" s="4">
        <v>7.87365</v>
      </c>
      <c r="AJ112" s="22">
        <v>9.91463</v>
      </c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>
        <v>299.52</v>
      </c>
      <c r="AY112" s="22"/>
      <c r="AZ112" s="4"/>
      <c r="BA112" s="4"/>
      <c r="BB112" s="4"/>
      <c r="BC112" s="22"/>
      <c r="BD112" s="22"/>
      <c r="BE112" s="22"/>
      <c r="BF112" s="22">
        <v>86.14125</v>
      </c>
      <c r="BG112" s="22">
        <v>53.77832</v>
      </c>
      <c r="BH112" s="22"/>
      <c r="BI112" s="22"/>
      <c r="BJ112" s="22"/>
      <c r="BK112" s="22"/>
      <c r="BL112" s="22"/>
      <c r="BM112" s="22"/>
      <c r="BN112" s="22"/>
      <c r="BO112" s="4"/>
      <c r="BP112" s="4"/>
      <c r="BQ112" s="4"/>
      <c r="BR112" s="4"/>
      <c r="BS112" s="4"/>
      <c r="BT112" s="22"/>
      <c r="BU112" s="24"/>
    </row>
    <row r="113" spans="1:73" ht="73.5" customHeight="1" outlineLevel="2">
      <c r="A113" s="44" t="s">
        <v>422</v>
      </c>
      <c r="B113" s="27" t="s">
        <v>874</v>
      </c>
      <c r="C113" s="39">
        <f t="shared" si="12"/>
        <v>601.4197300000001</v>
      </c>
      <c r="D113" s="1">
        <f t="shared" si="10"/>
        <v>51.72036</v>
      </c>
      <c r="E113" s="1">
        <f t="shared" si="11"/>
        <v>549.69937</v>
      </c>
      <c r="F113" s="22"/>
      <c r="G113" s="22"/>
      <c r="H113" s="22"/>
      <c r="I113" s="22"/>
      <c r="J113" s="22"/>
      <c r="K113" s="22"/>
      <c r="L113" s="22">
        <f>459.10754+12.37985</f>
        <v>471.48738999999995</v>
      </c>
      <c r="M113" s="2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22"/>
      <c r="AA113" s="4">
        <v>3.483</v>
      </c>
      <c r="AB113" s="4"/>
      <c r="AC113" s="4"/>
      <c r="AD113" s="22"/>
      <c r="AE113" s="22"/>
      <c r="AF113" s="22"/>
      <c r="AG113" s="22"/>
      <c r="AH113" s="20">
        <v>42.36251</v>
      </c>
      <c r="AI113" s="4"/>
      <c r="AJ113" s="4">
        <v>42.36251</v>
      </c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4"/>
      <c r="BA113" s="4"/>
      <c r="BB113" s="4"/>
      <c r="BC113" s="22"/>
      <c r="BD113" s="22"/>
      <c r="BE113" s="22"/>
      <c r="BF113" s="22">
        <v>51.72036</v>
      </c>
      <c r="BG113" s="22">
        <v>32.36647</v>
      </c>
      <c r="BH113" s="22"/>
      <c r="BI113" s="22"/>
      <c r="BJ113" s="22"/>
      <c r="BK113" s="22"/>
      <c r="BL113" s="22"/>
      <c r="BM113" s="22"/>
      <c r="BN113" s="22"/>
      <c r="BO113" s="4"/>
      <c r="BP113" s="4"/>
      <c r="BQ113" s="4"/>
      <c r="BR113" s="4"/>
      <c r="BS113" s="4"/>
      <c r="BT113" s="22"/>
      <c r="BU113" s="24"/>
    </row>
    <row r="114" spans="1:73" ht="73.5" customHeight="1" outlineLevel="2">
      <c r="A114" s="44" t="s">
        <v>422</v>
      </c>
      <c r="B114" s="27" t="s">
        <v>875</v>
      </c>
      <c r="C114" s="39">
        <f t="shared" si="12"/>
        <v>705.7975799999999</v>
      </c>
      <c r="D114" s="1">
        <f t="shared" si="10"/>
        <v>382.488</v>
      </c>
      <c r="E114" s="1">
        <f t="shared" si="11"/>
        <v>323.30958</v>
      </c>
      <c r="F114" s="22"/>
      <c r="G114" s="22"/>
      <c r="H114" s="22"/>
      <c r="I114" s="22"/>
      <c r="J114" s="22"/>
      <c r="K114" s="22"/>
      <c r="L114" s="22"/>
      <c r="M114" s="22"/>
      <c r="N114" s="4">
        <v>32.69326</v>
      </c>
      <c r="O114" s="4">
        <v>1.68722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22"/>
      <c r="AA114" s="4"/>
      <c r="AB114" s="4">
        <v>98.64012</v>
      </c>
      <c r="AC114" s="4">
        <v>46.61826</v>
      </c>
      <c r="AD114" s="22"/>
      <c r="AE114" s="22"/>
      <c r="AF114" s="22"/>
      <c r="AG114" s="22"/>
      <c r="AH114" s="20">
        <v>73.0756</v>
      </c>
      <c r="AI114" s="4">
        <v>73.0756</v>
      </c>
      <c r="AJ114" s="4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>
        <v>45.08</v>
      </c>
      <c r="AX114" s="22"/>
      <c r="AY114" s="22"/>
      <c r="AZ114" s="4"/>
      <c r="BA114" s="4"/>
      <c r="BB114" s="4"/>
      <c r="BC114" s="22"/>
      <c r="BD114" s="22"/>
      <c r="BE114" s="22"/>
      <c r="BF114" s="22">
        <v>251.15462</v>
      </c>
      <c r="BG114" s="22">
        <v>156.8485</v>
      </c>
      <c r="BH114" s="22"/>
      <c r="BI114" s="22"/>
      <c r="BJ114" s="22"/>
      <c r="BK114" s="22"/>
      <c r="BL114" s="22"/>
      <c r="BM114" s="22"/>
      <c r="BN114" s="22"/>
      <c r="BO114" s="4"/>
      <c r="BP114" s="4"/>
      <c r="BQ114" s="4"/>
      <c r="BR114" s="4"/>
      <c r="BS114" s="4"/>
      <c r="BT114" s="22"/>
      <c r="BU114" s="24"/>
    </row>
    <row r="115" spans="1:73" ht="73.5" customHeight="1" outlineLevel="2">
      <c r="A115" s="44" t="s">
        <v>422</v>
      </c>
      <c r="B115" s="27" t="s">
        <v>511</v>
      </c>
      <c r="C115" s="39">
        <f t="shared" si="12"/>
        <v>7.748</v>
      </c>
      <c r="D115" s="1">
        <f t="shared" si="10"/>
        <v>0</v>
      </c>
      <c r="E115" s="1">
        <f t="shared" si="11"/>
        <v>7.748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20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>
        <v>7.748</v>
      </c>
      <c r="BA115" s="4"/>
      <c r="BB115" s="4"/>
      <c r="BC115" s="4"/>
      <c r="BD115" s="4"/>
      <c r="BE115" s="4"/>
      <c r="BF115" s="4"/>
      <c r="BG115" s="4"/>
      <c r="BH115" s="4"/>
      <c r="BI115" s="4"/>
      <c r="BJ115" s="22"/>
      <c r="BK115" s="22"/>
      <c r="BL115" s="22"/>
      <c r="BM115" s="22"/>
      <c r="BN115" s="22"/>
      <c r="BO115" s="4"/>
      <c r="BP115" s="4"/>
      <c r="BQ115" s="4"/>
      <c r="BR115" s="4"/>
      <c r="BS115" s="4"/>
      <c r="BT115" s="22"/>
      <c r="BU115" s="24"/>
    </row>
    <row r="116" spans="1:73" ht="73.5" customHeight="1" outlineLevel="2">
      <c r="A116" s="44" t="s">
        <v>422</v>
      </c>
      <c r="B116" s="27" t="s">
        <v>849</v>
      </c>
      <c r="C116" s="39">
        <f>D116+E116</f>
        <v>2997</v>
      </c>
      <c r="D116" s="1">
        <f t="shared" si="10"/>
        <v>0</v>
      </c>
      <c r="E116" s="1">
        <f t="shared" si="11"/>
        <v>2997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20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22"/>
      <c r="BK116" s="22"/>
      <c r="BL116" s="22"/>
      <c r="BM116" s="22"/>
      <c r="BN116" s="22"/>
      <c r="BO116" s="4"/>
      <c r="BP116" s="4">
        <v>2997</v>
      </c>
      <c r="BQ116" s="4"/>
      <c r="BR116" s="4"/>
      <c r="BS116" s="4"/>
      <c r="BT116" s="22"/>
      <c r="BU116" s="24"/>
    </row>
    <row r="117" spans="1:73" ht="73.5" customHeight="1" outlineLevel="2">
      <c r="A117" s="44" t="s">
        <v>422</v>
      </c>
      <c r="B117" s="26" t="s">
        <v>876</v>
      </c>
      <c r="C117" s="39">
        <f t="shared" si="12"/>
        <v>452.63203000000004</v>
      </c>
      <c r="D117" s="1">
        <f t="shared" si="10"/>
        <v>114.66703000000001</v>
      </c>
      <c r="E117" s="1">
        <f t="shared" si="11"/>
        <v>337.96500000000003</v>
      </c>
      <c r="F117" s="22"/>
      <c r="G117" s="22"/>
      <c r="H117" s="22"/>
      <c r="I117" s="22"/>
      <c r="J117" s="22"/>
      <c r="K117" s="22"/>
      <c r="L117" s="22"/>
      <c r="M117" s="2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22"/>
      <c r="AA117" s="4"/>
      <c r="AB117" s="23">
        <v>38.73512</v>
      </c>
      <c r="AC117" s="4">
        <v>18.64731</v>
      </c>
      <c r="AD117" s="22"/>
      <c r="AE117" s="22"/>
      <c r="AF117" s="22"/>
      <c r="AG117" s="22"/>
      <c r="AH117" s="20"/>
      <c r="AI117" s="4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4"/>
      <c r="BA117" s="4"/>
      <c r="BB117" s="4"/>
      <c r="BC117" s="22"/>
      <c r="BD117" s="22">
        <v>271.901</v>
      </c>
      <c r="BE117" s="22"/>
      <c r="BF117" s="22">
        <v>75.93191</v>
      </c>
      <c r="BG117" s="22">
        <v>47.41669</v>
      </c>
      <c r="BH117" s="22"/>
      <c r="BI117" s="22"/>
      <c r="BJ117" s="22"/>
      <c r="BK117" s="22"/>
      <c r="BL117" s="22"/>
      <c r="BM117" s="22"/>
      <c r="BN117" s="22"/>
      <c r="BO117" s="4"/>
      <c r="BP117" s="4"/>
      <c r="BQ117" s="4"/>
      <c r="BR117" s="4"/>
      <c r="BS117" s="4"/>
      <c r="BT117" s="22"/>
      <c r="BU117" s="24"/>
    </row>
    <row r="118" spans="1:73" ht="73.5" customHeight="1" outlineLevel="2">
      <c r="A118" s="44" t="s">
        <v>422</v>
      </c>
      <c r="B118" s="27" t="s">
        <v>794</v>
      </c>
      <c r="C118" s="39">
        <f t="shared" si="12"/>
        <v>3000</v>
      </c>
      <c r="D118" s="1">
        <f t="shared" si="10"/>
        <v>1500</v>
      </c>
      <c r="E118" s="1">
        <f t="shared" si="11"/>
        <v>1500</v>
      </c>
      <c r="F118" s="22"/>
      <c r="G118" s="22"/>
      <c r="H118" s="22"/>
      <c r="I118" s="22"/>
      <c r="J118" s="22"/>
      <c r="K118" s="22"/>
      <c r="L118" s="22"/>
      <c r="M118" s="2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22"/>
      <c r="AA118" s="4"/>
      <c r="AB118" s="23"/>
      <c r="AC118" s="4"/>
      <c r="AD118" s="22"/>
      <c r="AE118" s="22"/>
      <c r="AF118" s="22"/>
      <c r="AG118" s="22"/>
      <c r="AH118" s="20"/>
      <c r="AI118" s="4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4"/>
      <c r="BA118" s="4"/>
      <c r="BB118" s="4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4">
        <v>1500</v>
      </c>
      <c r="BP118" s="4">
        <v>1500</v>
      </c>
      <c r="BQ118" s="4"/>
      <c r="BR118" s="4"/>
      <c r="BS118" s="4"/>
      <c r="BT118" s="22"/>
      <c r="BU118" s="24"/>
    </row>
    <row r="119" spans="1:73" ht="73.5" customHeight="1" outlineLevel="2">
      <c r="A119" s="44" t="s">
        <v>422</v>
      </c>
      <c r="B119" s="27" t="s">
        <v>877</v>
      </c>
      <c r="C119" s="39">
        <f t="shared" si="12"/>
        <v>215.69612</v>
      </c>
      <c r="D119" s="1">
        <f t="shared" si="10"/>
        <v>133.21994</v>
      </c>
      <c r="E119" s="1">
        <f t="shared" si="11"/>
        <v>82.47618</v>
      </c>
      <c r="F119" s="22"/>
      <c r="G119" s="22"/>
      <c r="H119" s="22"/>
      <c r="I119" s="22"/>
      <c r="J119" s="22"/>
      <c r="K119" s="22"/>
      <c r="L119" s="22"/>
      <c r="M119" s="2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22"/>
      <c r="AA119" s="4">
        <v>4.374</v>
      </c>
      <c r="AB119" s="23">
        <v>45.54494</v>
      </c>
      <c r="AC119" s="4">
        <v>23.30913</v>
      </c>
      <c r="AD119" s="22"/>
      <c r="AE119" s="22"/>
      <c r="AF119" s="22"/>
      <c r="AG119" s="22"/>
      <c r="AH119" s="20"/>
      <c r="AI119" s="4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4"/>
      <c r="BA119" s="4"/>
      <c r="BB119" s="4"/>
      <c r="BC119" s="22"/>
      <c r="BD119" s="22"/>
      <c r="BE119" s="22"/>
      <c r="BF119" s="22">
        <v>87.675</v>
      </c>
      <c r="BG119" s="22">
        <v>54.79305</v>
      </c>
      <c r="BH119" s="22"/>
      <c r="BI119" s="22"/>
      <c r="BJ119" s="22"/>
      <c r="BK119" s="22"/>
      <c r="BL119" s="22"/>
      <c r="BM119" s="22"/>
      <c r="BN119" s="22"/>
      <c r="BO119" s="4"/>
      <c r="BP119" s="4"/>
      <c r="BQ119" s="4"/>
      <c r="BR119" s="4"/>
      <c r="BS119" s="4"/>
      <c r="BT119" s="22"/>
      <c r="BU119" s="24"/>
    </row>
    <row r="120" spans="1:73" ht="73.5" customHeight="1" outlineLevel="2">
      <c r="A120" s="44" t="s">
        <v>422</v>
      </c>
      <c r="B120" s="26" t="s">
        <v>363</v>
      </c>
      <c r="C120" s="39">
        <f t="shared" si="12"/>
        <v>421.575</v>
      </c>
      <c r="D120" s="1">
        <f t="shared" si="10"/>
        <v>0</v>
      </c>
      <c r="E120" s="1">
        <f t="shared" si="11"/>
        <v>421.575</v>
      </c>
      <c r="F120" s="22"/>
      <c r="G120" s="22"/>
      <c r="H120" s="22"/>
      <c r="I120" s="22"/>
      <c r="J120" s="22"/>
      <c r="K120" s="22"/>
      <c r="L120" s="22"/>
      <c r="M120" s="2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22"/>
      <c r="AA120" s="4"/>
      <c r="AB120" s="4"/>
      <c r="AC120" s="4"/>
      <c r="AD120" s="22"/>
      <c r="AE120" s="22"/>
      <c r="AF120" s="22"/>
      <c r="AG120" s="22"/>
      <c r="AH120" s="20"/>
      <c r="AI120" s="4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4"/>
      <c r="BA120" s="4"/>
      <c r="BB120" s="4"/>
      <c r="BC120" s="22"/>
      <c r="BD120" s="22"/>
      <c r="BE120" s="22">
        <v>421.575</v>
      </c>
      <c r="BF120" s="22"/>
      <c r="BG120" s="22"/>
      <c r="BH120" s="22"/>
      <c r="BI120" s="22"/>
      <c r="BJ120" s="22"/>
      <c r="BK120" s="22"/>
      <c r="BL120" s="22"/>
      <c r="BM120" s="22"/>
      <c r="BN120" s="22"/>
      <c r="BO120" s="4"/>
      <c r="BP120" s="4"/>
      <c r="BQ120" s="4"/>
      <c r="BR120" s="4"/>
      <c r="BS120" s="4"/>
      <c r="BT120" s="22"/>
      <c r="BU120" s="24"/>
    </row>
    <row r="121" spans="1:73" ht="73.5" customHeight="1" outlineLevel="2">
      <c r="A121" s="44" t="s">
        <v>422</v>
      </c>
      <c r="B121" s="26" t="s">
        <v>445</v>
      </c>
      <c r="C121" s="39">
        <f t="shared" si="12"/>
        <v>4.00937</v>
      </c>
      <c r="D121" s="1">
        <f t="shared" si="10"/>
        <v>3.81845</v>
      </c>
      <c r="E121" s="1">
        <f t="shared" si="11"/>
        <v>0.19092</v>
      </c>
      <c r="F121" s="22"/>
      <c r="G121" s="22"/>
      <c r="H121" s="22"/>
      <c r="I121" s="22"/>
      <c r="J121" s="22"/>
      <c r="K121" s="22"/>
      <c r="L121" s="22"/>
      <c r="M121" s="22"/>
      <c r="N121" s="4">
        <v>3.81845</v>
      </c>
      <c r="O121" s="4">
        <v>0.19092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22"/>
      <c r="AA121" s="4"/>
      <c r="AB121" s="4"/>
      <c r="AC121" s="4"/>
      <c r="AD121" s="22"/>
      <c r="AE121" s="22"/>
      <c r="AF121" s="22"/>
      <c r="AG121" s="22"/>
      <c r="AH121" s="20"/>
      <c r="AI121" s="4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4"/>
      <c r="BA121" s="4"/>
      <c r="BB121" s="4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4"/>
      <c r="BP121" s="4"/>
      <c r="BQ121" s="4"/>
      <c r="BR121" s="4"/>
      <c r="BS121" s="4"/>
      <c r="BT121" s="22"/>
      <c r="BU121" s="24"/>
    </row>
    <row r="122" spans="1:73" ht="73.5" customHeight="1" outlineLevel="2">
      <c r="A122" s="44" t="s">
        <v>422</v>
      </c>
      <c r="B122" s="26" t="s">
        <v>165</v>
      </c>
      <c r="C122" s="39">
        <f t="shared" si="12"/>
        <v>99592.52385999999</v>
      </c>
      <c r="D122" s="1">
        <f t="shared" si="10"/>
        <v>40989.21115</v>
      </c>
      <c r="E122" s="1">
        <f t="shared" si="11"/>
        <v>58603.31270999999</v>
      </c>
      <c r="F122" s="22"/>
      <c r="G122" s="22"/>
      <c r="H122" s="22"/>
      <c r="I122" s="22"/>
      <c r="J122" s="22"/>
      <c r="K122" s="22"/>
      <c r="L122" s="22">
        <f>54628.10213+635.0819</f>
        <v>55263.18403</v>
      </c>
      <c r="M122" s="2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22"/>
      <c r="AA122" s="4"/>
      <c r="AB122" s="4"/>
      <c r="AC122" s="4"/>
      <c r="AD122" s="22"/>
      <c r="AE122" s="22"/>
      <c r="AF122" s="22"/>
      <c r="AG122" s="22"/>
      <c r="AH122" s="20"/>
      <c r="AI122" s="4"/>
      <c r="AJ122" s="22"/>
      <c r="AK122" s="22"/>
      <c r="AL122" s="22"/>
      <c r="AM122" s="22"/>
      <c r="AN122" s="22"/>
      <c r="AO122" s="22"/>
      <c r="AP122" s="22"/>
      <c r="AQ122" s="22"/>
      <c r="AR122" s="22">
        <v>40989.21115</v>
      </c>
      <c r="AS122" s="22">
        <v>2157.32689</v>
      </c>
      <c r="AT122" s="22"/>
      <c r="AU122" s="22"/>
      <c r="AV122" s="22"/>
      <c r="AW122" s="22"/>
      <c r="AX122" s="22"/>
      <c r="AY122" s="22"/>
      <c r="AZ122" s="4"/>
      <c r="BA122" s="4"/>
      <c r="BB122" s="4"/>
      <c r="BC122" s="22"/>
      <c r="BD122" s="22"/>
      <c r="BE122" s="22">
        <v>1182.80179</v>
      </c>
      <c r="BF122" s="22"/>
      <c r="BG122" s="22"/>
      <c r="BH122" s="22"/>
      <c r="BI122" s="22"/>
      <c r="BJ122" s="22"/>
      <c r="BK122" s="22"/>
      <c r="BL122" s="22"/>
      <c r="BM122" s="22"/>
      <c r="BN122" s="22"/>
      <c r="BO122" s="4"/>
      <c r="BP122" s="4"/>
      <c r="BQ122" s="4"/>
      <c r="BR122" s="4"/>
      <c r="BS122" s="4"/>
      <c r="BT122" s="22"/>
      <c r="BU122" s="24"/>
    </row>
    <row r="123" spans="1:73" ht="73.5" customHeight="1" outlineLevel="2" thickBot="1">
      <c r="A123" s="44" t="s">
        <v>422</v>
      </c>
      <c r="B123" s="26" t="s">
        <v>576</v>
      </c>
      <c r="C123" s="39">
        <f t="shared" si="12"/>
        <v>16.22394</v>
      </c>
      <c r="D123" s="1">
        <f t="shared" si="10"/>
        <v>0</v>
      </c>
      <c r="E123" s="1">
        <f t="shared" si="11"/>
        <v>16.22394</v>
      </c>
      <c r="F123" s="22"/>
      <c r="G123" s="22"/>
      <c r="H123" s="22"/>
      <c r="I123" s="22"/>
      <c r="J123" s="22"/>
      <c r="K123" s="22"/>
      <c r="L123" s="22"/>
      <c r="M123" s="2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22"/>
      <c r="AA123" s="4"/>
      <c r="AB123" s="4"/>
      <c r="AC123" s="4"/>
      <c r="AD123" s="22"/>
      <c r="AE123" s="22"/>
      <c r="AF123" s="22"/>
      <c r="AG123" s="22"/>
      <c r="AH123" s="20">
        <v>16.22394</v>
      </c>
      <c r="AI123" s="4"/>
      <c r="AJ123" s="20">
        <v>16.22394</v>
      </c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4"/>
      <c r="BA123" s="4"/>
      <c r="BB123" s="4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4"/>
      <c r="BP123" s="4"/>
      <c r="BQ123" s="4"/>
      <c r="BR123" s="4"/>
      <c r="BS123" s="4"/>
      <c r="BT123" s="22"/>
      <c r="BU123" s="24"/>
    </row>
    <row r="124" spans="1:74" s="35" customFormat="1" ht="73.5" customHeight="1" outlineLevel="1" thickBot="1">
      <c r="A124" s="53" t="s">
        <v>12</v>
      </c>
      <c r="B124" s="54"/>
      <c r="C124" s="49">
        <f aca="true" t="shared" si="13" ref="C124:BN124">SUBTOTAL(9,C88:C123)</f>
        <v>277430.6935600001</v>
      </c>
      <c r="D124" s="49">
        <f t="shared" si="13"/>
        <v>96938.06326</v>
      </c>
      <c r="E124" s="49">
        <f t="shared" si="13"/>
        <v>180492.63029999996</v>
      </c>
      <c r="F124" s="49">
        <f t="shared" si="13"/>
        <v>0</v>
      </c>
      <c r="G124" s="49">
        <f t="shared" si="13"/>
        <v>0</v>
      </c>
      <c r="H124" s="49">
        <f t="shared" si="13"/>
        <v>0</v>
      </c>
      <c r="I124" s="49">
        <f t="shared" si="13"/>
        <v>0</v>
      </c>
      <c r="J124" s="49">
        <f t="shared" si="13"/>
        <v>3843.78937</v>
      </c>
      <c r="K124" s="49">
        <f t="shared" si="13"/>
        <v>1439.0116499999997</v>
      </c>
      <c r="L124" s="49">
        <f t="shared" si="13"/>
        <v>65454.20632</v>
      </c>
      <c r="M124" s="49">
        <f t="shared" si="13"/>
        <v>31867.0566</v>
      </c>
      <c r="N124" s="49">
        <f t="shared" si="13"/>
        <v>36.51171</v>
      </c>
      <c r="O124" s="49">
        <f t="shared" si="13"/>
        <v>1.87814</v>
      </c>
      <c r="P124" s="49">
        <f t="shared" si="13"/>
        <v>1545.89372</v>
      </c>
      <c r="Q124" s="49">
        <f t="shared" si="13"/>
        <v>0</v>
      </c>
      <c r="R124" s="49">
        <f t="shared" si="13"/>
        <v>2405.2446099999997</v>
      </c>
      <c r="S124" s="49">
        <f t="shared" si="13"/>
        <v>2294.42894</v>
      </c>
      <c r="T124" s="49">
        <f t="shared" si="13"/>
        <v>0</v>
      </c>
      <c r="U124" s="49">
        <f t="shared" si="13"/>
        <v>0</v>
      </c>
      <c r="V124" s="49">
        <f t="shared" si="13"/>
        <v>0</v>
      </c>
      <c r="W124" s="49">
        <f t="shared" si="13"/>
        <v>0</v>
      </c>
      <c r="X124" s="49">
        <f t="shared" si="13"/>
        <v>0</v>
      </c>
      <c r="Y124" s="49">
        <f t="shared" si="13"/>
        <v>0</v>
      </c>
      <c r="Z124" s="49">
        <f t="shared" si="13"/>
        <v>557.04848</v>
      </c>
      <c r="AA124" s="49">
        <f t="shared" si="13"/>
        <v>1175.4405</v>
      </c>
      <c r="AB124" s="49">
        <f t="shared" si="13"/>
        <v>11781.38268</v>
      </c>
      <c r="AC124" s="49">
        <f t="shared" si="13"/>
        <v>5221.012430000001</v>
      </c>
      <c r="AD124" s="49">
        <f t="shared" si="13"/>
        <v>0</v>
      </c>
      <c r="AE124" s="49">
        <f t="shared" si="13"/>
        <v>0</v>
      </c>
      <c r="AF124" s="49">
        <f t="shared" si="13"/>
        <v>0</v>
      </c>
      <c r="AG124" s="49">
        <f t="shared" si="13"/>
        <v>0</v>
      </c>
      <c r="AH124" s="49">
        <f t="shared" si="13"/>
        <v>7655.331659999999</v>
      </c>
      <c r="AI124" s="49">
        <f t="shared" si="13"/>
        <v>4352.1313</v>
      </c>
      <c r="AJ124" s="49">
        <f t="shared" si="13"/>
        <v>3303.20036</v>
      </c>
      <c r="AK124" s="49">
        <f t="shared" si="13"/>
        <v>0</v>
      </c>
      <c r="AL124" s="49">
        <f t="shared" si="13"/>
        <v>218.17762000000002</v>
      </c>
      <c r="AM124" s="49">
        <f t="shared" si="13"/>
        <v>0</v>
      </c>
      <c r="AN124" s="49">
        <f t="shared" si="13"/>
        <v>0</v>
      </c>
      <c r="AO124" s="49">
        <f t="shared" si="13"/>
        <v>0</v>
      </c>
      <c r="AP124" s="49">
        <f t="shared" si="13"/>
        <v>0</v>
      </c>
      <c r="AQ124" s="49">
        <f t="shared" si="13"/>
        <v>403.75</v>
      </c>
      <c r="AR124" s="49">
        <f t="shared" si="13"/>
        <v>40989.21115</v>
      </c>
      <c r="AS124" s="49">
        <f t="shared" si="13"/>
        <v>2157.32689</v>
      </c>
      <c r="AT124" s="49">
        <f t="shared" si="13"/>
        <v>0</v>
      </c>
      <c r="AU124" s="49">
        <f t="shared" si="13"/>
        <v>0</v>
      </c>
      <c r="AV124" s="49">
        <f t="shared" si="13"/>
        <v>0</v>
      </c>
      <c r="AW124" s="49">
        <f t="shared" si="13"/>
        <v>45.08</v>
      </c>
      <c r="AX124" s="49">
        <f t="shared" si="13"/>
        <v>299.52</v>
      </c>
      <c r="AY124" s="49">
        <f t="shared" si="13"/>
        <v>12240.247270000002</v>
      </c>
      <c r="AZ124" s="49">
        <f t="shared" si="13"/>
        <v>8277.120649999999</v>
      </c>
      <c r="BA124" s="49">
        <f t="shared" si="13"/>
        <v>0</v>
      </c>
      <c r="BB124" s="49">
        <f t="shared" si="13"/>
        <v>0</v>
      </c>
      <c r="BC124" s="49">
        <f t="shared" si="13"/>
        <v>0</v>
      </c>
      <c r="BD124" s="49">
        <f t="shared" si="13"/>
        <v>1445.84545</v>
      </c>
      <c r="BE124" s="49">
        <f t="shared" si="13"/>
        <v>31318.6991</v>
      </c>
      <c r="BF124" s="49">
        <f t="shared" si="13"/>
        <v>23584.62799</v>
      </c>
      <c r="BG124" s="55">
        <f t="shared" si="13"/>
        <v>14727.38214</v>
      </c>
      <c r="BH124" s="55">
        <f t="shared" si="13"/>
        <v>0</v>
      </c>
      <c r="BI124" s="49">
        <f t="shared" si="13"/>
        <v>0</v>
      </c>
      <c r="BJ124" s="49">
        <f t="shared" si="13"/>
        <v>448.46849</v>
      </c>
      <c r="BK124" s="49">
        <f t="shared" si="13"/>
        <v>0</v>
      </c>
      <c r="BL124" s="49">
        <f t="shared" si="13"/>
        <v>0</v>
      </c>
      <c r="BM124" s="49">
        <f t="shared" si="13"/>
        <v>0</v>
      </c>
      <c r="BN124" s="49">
        <f t="shared" si="13"/>
        <v>0</v>
      </c>
      <c r="BO124" s="49">
        <f aca="true" t="shared" si="14" ref="BO124:BT124">SUBTOTAL(9,BO88:BO123)</f>
        <v>1500</v>
      </c>
      <c r="BP124" s="49">
        <f t="shared" si="14"/>
        <v>4497</v>
      </c>
      <c r="BQ124" s="49">
        <f t="shared" si="14"/>
        <v>0</v>
      </c>
      <c r="BR124" s="49">
        <f t="shared" si="14"/>
        <v>0</v>
      </c>
      <c r="BS124" s="2">
        <f t="shared" si="14"/>
        <v>0</v>
      </c>
      <c r="BT124" s="2">
        <f t="shared" si="14"/>
        <v>0</v>
      </c>
      <c r="BU124" s="50"/>
      <c r="BV124" s="34"/>
    </row>
    <row r="125" spans="1:73" ht="73.5" customHeight="1" outlineLevel="2">
      <c r="A125" s="36" t="s">
        <v>13</v>
      </c>
      <c r="B125" s="37" t="s">
        <v>837</v>
      </c>
      <c r="C125" s="39">
        <f>D125+E125</f>
        <v>27</v>
      </c>
      <c r="D125" s="1">
        <f aca="true" t="shared" si="15" ref="D125:D167">F125+J125+N125+R125+T125+Z125+AB125+AD125+AF125+AM125+AO125+AT125+AY125+BF125+BO125+BS125+H125+V125+X125+BQ125+AR125+BH125</f>
        <v>27</v>
      </c>
      <c r="E125" s="1">
        <f aca="true" t="shared" si="16" ref="E125:E167">G125+I125+K125+L125+M125+O125+P125+Q125+S125+U125+W125+Y125+AA125+AC125+AE125+AG125+AH125+AK125+AL125+AN125+AP125+AQ125+AS125+AU125+AV125+AW125+AX125+AZ125+BA125+BB125+BC125+BD125+BE125+BG125+BI125+BJ125+BK125+BL125+BM125+BN125+BU125+BP125+BR125+BT125</f>
        <v>0</v>
      </c>
      <c r="F125" s="40"/>
      <c r="G125" s="40"/>
      <c r="H125" s="40"/>
      <c r="I125" s="40"/>
      <c r="J125" s="40"/>
      <c r="K125" s="40"/>
      <c r="L125" s="40"/>
      <c r="M125" s="40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0"/>
      <c r="AA125" s="40"/>
      <c r="AB125" s="41"/>
      <c r="AC125" s="41"/>
      <c r="AD125" s="40"/>
      <c r="AE125" s="40"/>
      <c r="AF125" s="40"/>
      <c r="AG125" s="40"/>
      <c r="AH125" s="43"/>
      <c r="AI125" s="41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1"/>
      <c r="BA125" s="41"/>
      <c r="BB125" s="41"/>
      <c r="BC125" s="40"/>
      <c r="BD125" s="40"/>
      <c r="BE125" s="40"/>
      <c r="BF125" s="40"/>
      <c r="BG125" s="22"/>
      <c r="BH125" s="22">
        <v>27</v>
      </c>
      <c r="BI125" s="40"/>
      <c r="BJ125" s="40"/>
      <c r="BK125" s="40"/>
      <c r="BL125" s="40"/>
      <c r="BM125" s="40"/>
      <c r="BN125" s="40"/>
      <c r="BO125" s="41"/>
      <c r="BP125" s="41"/>
      <c r="BQ125" s="41"/>
      <c r="BR125" s="41"/>
      <c r="BS125" s="4"/>
      <c r="BT125" s="22"/>
      <c r="BU125" s="24"/>
    </row>
    <row r="126" spans="1:73" ht="73.5" customHeight="1" outlineLevel="2">
      <c r="A126" s="46" t="s">
        <v>13</v>
      </c>
      <c r="B126" s="56" t="s">
        <v>289</v>
      </c>
      <c r="C126" s="2">
        <f aca="true" t="shared" si="17" ref="C126:C167">D126+E126</f>
        <v>132.48405</v>
      </c>
      <c r="D126" s="1">
        <f t="shared" si="15"/>
        <v>4.6059</v>
      </c>
      <c r="E126" s="1">
        <f t="shared" si="16"/>
        <v>127.87814999999999</v>
      </c>
      <c r="F126" s="22"/>
      <c r="G126" s="22"/>
      <c r="H126" s="22"/>
      <c r="I126" s="22"/>
      <c r="J126" s="22"/>
      <c r="K126" s="22"/>
      <c r="L126" s="22"/>
      <c r="M126" s="2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22"/>
      <c r="AA126" s="4"/>
      <c r="AB126" s="4"/>
      <c r="AC126" s="4"/>
      <c r="AD126" s="22"/>
      <c r="AE126" s="22"/>
      <c r="AF126" s="22"/>
      <c r="AG126" s="22"/>
      <c r="AH126" s="20"/>
      <c r="AI126" s="4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4"/>
      <c r="BA126" s="4"/>
      <c r="BB126" s="4"/>
      <c r="BC126" s="22"/>
      <c r="BD126" s="22">
        <v>125.01055</v>
      </c>
      <c r="BE126" s="22"/>
      <c r="BF126" s="22">
        <v>4.6059</v>
      </c>
      <c r="BG126" s="40">
        <v>2.8676</v>
      </c>
      <c r="BH126" s="40"/>
      <c r="BI126" s="22"/>
      <c r="BJ126" s="22"/>
      <c r="BK126" s="22"/>
      <c r="BL126" s="22"/>
      <c r="BM126" s="22"/>
      <c r="BN126" s="22"/>
      <c r="BO126" s="4"/>
      <c r="BP126" s="4"/>
      <c r="BQ126" s="4"/>
      <c r="BR126" s="4"/>
      <c r="BS126" s="4"/>
      <c r="BT126" s="22"/>
      <c r="BU126" s="24"/>
    </row>
    <row r="127" spans="1:73" ht="73.5" customHeight="1" outlineLevel="2">
      <c r="A127" s="46" t="s">
        <v>13</v>
      </c>
      <c r="B127" s="45" t="s">
        <v>244</v>
      </c>
      <c r="C127" s="2">
        <f t="shared" si="17"/>
        <v>2386.13983</v>
      </c>
      <c r="D127" s="1">
        <f t="shared" si="15"/>
        <v>1024.55206</v>
      </c>
      <c r="E127" s="1">
        <f t="shared" si="16"/>
        <v>1361.58777</v>
      </c>
      <c r="F127" s="22"/>
      <c r="G127" s="22"/>
      <c r="H127" s="22"/>
      <c r="I127" s="22"/>
      <c r="J127" s="22"/>
      <c r="K127" s="22"/>
      <c r="L127" s="22"/>
      <c r="M127" s="2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22"/>
      <c r="AA127" s="22">
        <v>18.19469</v>
      </c>
      <c r="AB127" s="23">
        <v>304.80283</v>
      </c>
      <c r="AC127" s="4">
        <v>94.09897</v>
      </c>
      <c r="AD127" s="22"/>
      <c r="AE127" s="22"/>
      <c r="AF127" s="22"/>
      <c r="AG127" s="22"/>
      <c r="AH127" s="20">
        <f>39.65852+31.4946</f>
        <v>71.15312</v>
      </c>
      <c r="AI127" s="4">
        <v>31.4946</v>
      </c>
      <c r="AJ127" s="22">
        <v>39.65852</v>
      </c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4"/>
      <c r="BA127" s="4"/>
      <c r="BB127" s="4"/>
      <c r="BC127" s="22"/>
      <c r="BD127" s="22">
        <v>61.3683</v>
      </c>
      <c r="BE127" s="22">
        <v>27.7</v>
      </c>
      <c r="BF127" s="22">
        <v>598.24923</v>
      </c>
      <c r="BG127" s="22">
        <v>242.76026</v>
      </c>
      <c r="BH127" s="22">
        <v>121.5</v>
      </c>
      <c r="BI127" s="22">
        <v>209.06926</v>
      </c>
      <c r="BJ127" s="22">
        <v>637.24317</v>
      </c>
      <c r="BK127" s="22"/>
      <c r="BL127" s="22"/>
      <c r="BM127" s="22"/>
      <c r="BN127" s="22"/>
      <c r="BO127" s="4"/>
      <c r="BP127" s="4"/>
      <c r="BQ127" s="4"/>
      <c r="BR127" s="4"/>
      <c r="BS127" s="4"/>
      <c r="BT127" s="22"/>
      <c r="BU127" s="24"/>
    </row>
    <row r="128" spans="1:73" ht="73.5" customHeight="1" outlineLevel="2">
      <c r="A128" s="46" t="s">
        <v>13</v>
      </c>
      <c r="B128" s="56" t="s">
        <v>294</v>
      </c>
      <c r="C128" s="2">
        <f t="shared" si="17"/>
        <v>615.28773</v>
      </c>
      <c r="D128" s="1">
        <f t="shared" si="15"/>
        <v>337.15785999999997</v>
      </c>
      <c r="E128" s="1">
        <f t="shared" si="16"/>
        <v>278.12987</v>
      </c>
      <c r="F128" s="22"/>
      <c r="G128" s="22"/>
      <c r="H128" s="22"/>
      <c r="I128" s="22"/>
      <c r="J128" s="22"/>
      <c r="K128" s="22"/>
      <c r="L128" s="22"/>
      <c r="M128" s="2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22">
        <v>116.97461</v>
      </c>
      <c r="AA128" s="4">
        <v>164.12895</v>
      </c>
      <c r="AB128" s="4"/>
      <c r="AC128" s="4"/>
      <c r="AD128" s="22"/>
      <c r="AE128" s="22"/>
      <c r="AF128" s="22"/>
      <c r="AG128" s="22"/>
      <c r="AH128" s="20"/>
      <c r="AI128" s="4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4"/>
      <c r="BA128" s="4"/>
      <c r="BB128" s="4"/>
      <c r="BC128" s="22"/>
      <c r="BD128" s="22"/>
      <c r="BE128" s="22"/>
      <c r="BF128" s="22">
        <v>193.18325</v>
      </c>
      <c r="BG128" s="28"/>
      <c r="BH128" s="22">
        <v>27</v>
      </c>
      <c r="BI128" s="22">
        <v>114.00092</v>
      </c>
      <c r="BJ128" s="22"/>
      <c r="BK128" s="22"/>
      <c r="BL128" s="22"/>
      <c r="BM128" s="22"/>
      <c r="BN128" s="22"/>
      <c r="BO128" s="4"/>
      <c r="BP128" s="4"/>
      <c r="BQ128" s="4"/>
      <c r="BR128" s="4"/>
      <c r="BS128" s="4"/>
      <c r="BT128" s="22"/>
      <c r="BU128" s="24"/>
    </row>
    <row r="129" spans="1:73" ht="73.5" customHeight="1" outlineLevel="2">
      <c r="A129" s="46" t="s">
        <v>13</v>
      </c>
      <c r="B129" s="45" t="s">
        <v>183</v>
      </c>
      <c r="C129" s="2">
        <f t="shared" si="17"/>
        <v>2572.16665</v>
      </c>
      <c r="D129" s="1">
        <f t="shared" si="15"/>
        <v>271.96020999999996</v>
      </c>
      <c r="E129" s="1">
        <f t="shared" si="16"/>
        <v>2300.20644</v>
      </c>
      <c r="F129" s="22"/>
      <c r="G129" s="22"/>
      <c r="H129" s="22"/>
      <c r="I129" s="22"/>
      <c r="J129" s="22"/>
      <c r="K129" s="22"/>
      <c r="L129" s="22"/>
      <c r="M129" s="2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22"/>
      <c r="AA129" s="4"/>
      <c r="AB129" s="23">
        <v>59.03357</v>
      </c>
      <c r="AC129" s="4">
        <v>29.83569</v>
      </c>
      <c r="AD129" s="22"/>
      <c r="AE129" s="22"/>
      <c r="AF129" s="22"/>
      <c r="AG129" s="22"/>
      <c r="AH129" s="20">
        <f>8.11197+11.2424</f>
        <v>19.35437</v>
      </c>
      <c r="AI129" s="4">
        <v>11.2424</v>
      </c>
      <c r="AJ129" s="22">
        <v>8.11197</v>
      </c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4"/>
      <c r="BA129" s="4"/>
      <c r="BB129" s="4"/>
      <c r="BC129" s="22"/>
      <c r="BD129" s="22">
        <f>1527.27248+401.20472</f>
        <v>1928.4772</v>
      </c>
      <c r="BE129" s="22">
        <v>30</v>
      </c>
      <c r="BF129" s="22">
        <v>212.92664</v>
      </c>
      <c r="BG129" s="22">
        <v>69.19873</v>
      </c>
      <c r="BH129" s="22"/>
      <c r="BI129" s="22">
        <v>79.87847</v>
      </c>
      <c r="BJ129" s="22">
        <v>143.46198</v>
      </c>
      <c r="BK129" s="22"/>
      <c r="BL129" s="22"/>
      <c r="BM129" s="22"/>
      <c r="BN129" s="22"/>
      <c r="BO129" s="4"/>
      <c r="BP129" s="4"/>
      <c r="BQ129" s="4"/>
      <c r="BR129" s="4"/>
      <c r="BS129" s="4"/>
      <c r="BT129" s="22"/>
      <c r="BU129" s="24"/>
    </row>
    <row r="130" spans="1:73" ht="73.5" customHeight="1" outlineLevel="2">
      <c r="A130" s="46" t="s">
        <v>13</v>
      </c>
      <c r="B130" s="45" t="s">
        <v>155</v>
      </c>
      <c r="C130" s="2">
        <f t="shared" si="17"/>
        <v>151.18767</v>
      </c>
      <c r="D130" s="1">
        <f t="shared" si="15"/>
        <v>94.85428</v>
      </c>
      <c r="E130" s="1">
        <f t="shared" si="16"/>
        <v>56.333389999999994</v>
      </c>
      <c r="F130" s="22"/>
      <c r="G130" s="22"/>
      <c r="H130" s="22"/>
      <c r="I130" s="22"/>
      <c r="J130" s="22"/>
      <c r="K130" s="22"/>
      <c r="L130" s="22"/>
      <c r="M130" s="2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22"/>
      <c r="AA130" s="4"/>
      <c r="AB130" s="23">
        <v>25.62329</v>
      </c>
      <c r="AC130" s="4">
        <v>9.25373</v>
      </c>
      <c r="AD130" s="22"/>
      <c r="AE130" s="22"/>
      <c r="AF130" s="22"/>
      <c r="AG130" s="22"/>
      <c r="AH130" s="20"/>
      <c r="AI130" s="4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4"/>
      <c r="BA130" s="4"/>
      <c r="BB130" s="4"/>
      <c r="BC130" s="22"/>
      <c r="BD130" s="22"/>
      <c r="BE130" s="22"/>
      <c r="BF130" s="22">
        <v>69.23099</v>
      </c>
      <c r="BG130" s="22">
        <v>20.05809</v>
      </c>
      <c r="BH130" s="22"/>
      <c r="BI130" s="22">
        <v>27.02157</v>
      </c>
      <c r="BJ130" s="22"/>
      <c r="BK130" s="22"/>
      <c r="BL130" s="22"/>
      <c r="BM130" s="22"/>
      <c r="BN130" s="22"/>
      <c r="BO130" s="4"/>
      <c r="BP130" s="4"/>
      <c r="BQ130" s="4"/>
      <c r="BR130" s="4"/>
      <c r="BS130" s="4"/>
      <c r="BT130" s="22"/>
      <c r="BU130" s="24"/>
    </row>
    <row r="131" spans="1:73" ht="73.5" customHeight="1" outlineLevel="2">
      <c r="A131" s="46" t="s">
        <v>13</v>
      </c>
      <c r="B131" s="45" t="s">
        <v>648</v>
      </c>
      <c r="C131" s="2">
        <f t="shared" si="17"/>
        <v>5468.0503100000005</v>
      </c>
      <c r="D131" s="1">
        <f t="shared" si="15"/>
        <v>903.05974</v>
      </c>
      <c r="E131" s="1">
        <f t="shared" si="16"/>
        <v>4564.990570000001</v>
      </c>
      <c r="F131" s="22"/>
      <c r="G131" s="22"/>
      <c r="H131" s="22"/>
      <c r="I131" s="22"/>
      <c r="J131" s="22"/>
      <c r="K131" s="22"/>
      <c r="L131" s="22"/>
      <c r="M131" s="22"/>
      <c r="N131" s="4"/>
      <c r="O131" s="4"/>
      <c r="P131" s="4"/>
      <c r="Q131" s="4"/>
      <c r="R131" s="4">
        <v>549.39097</v>
      </c>
      <c r="S131" s="4">
        <v>317.65998</v>
      </c>
      <c r="T131" s="4"/>
      <c r="U131" s="4"/>
      <c r="V131" s="4"/>
      <c r="W131" s="4"/>
      <c r="X131" s="4"/>
      <c r="Y131" s="4"/>
      <c r="Z131" s="22"/>
      <c r="AA131" s="4"/>
      <c r="AB131" s="4"/>
      <c r="AC131" s="4"/>
      <c r="AD131" s="22"/>
      <c r="AE131" s="22"/>
      <c r="AF131" s="22"/>
      <c r="AG131" s="22"/>
      <c r="AH131" s="20"/>
      <c r="AI131" s="4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4"/>
      <c r="BA131" s="4"/>
      <c r="BB131" s="4"/>
      <c r="BC131" s="22"/>
      <c r="BD131" s="22">
        <f>3424.46918+553.84468</f>
        <v>3978.31386</v>
      </c>
      <c r="BE131" s="22"/>
      <c r="BF131" s="22">
        <v>272.66877</v>
      </c>
      <c r="BG131" s="22">
        <v>83.04043</v>
      </c>
      <c r="BH131" s="22">
        <v>81</v>
      </c>
      <c r="BI131" s="22">
        <v>118.06451</v>
      </c>
      <c r="BJ131" s="22">
        <v>67.91179</v>
      </c>
      <c r="BK131" s="22"/>
      <c r="BL131" s="22"/>
      <c r="BM131" s="22"/>
      <c r="BN131" s="22"/>
      <c r="BO131" s="4"/>
      <c r="BP131" s="4"/>
      <c r="BQ131" s="4"/>
      <c r="BR131" s="4"/>
      <c r="BS131" s="4"/>
      <c r="BT131" s="22"/>
      <c r="BU131" s="24"/>
    </row>
    <row r="132" spans="1:73" ht="73.5" customHeight="1" outlineLevel="2">
      <c r="A132" s="46" t="s">
        <v>13</v>
      </c>
      <c r="B132" s="45" t="s">
        <v>447</v>
      </c>
      <c r="C132" s="2">
        <f t="shared" si="17"/>
        <v>358.94241</v>
      </c>
      <c r="D132" s="1">
        <f t="shared" si="15"/>
        <v>252.9669</v>
      </c>
      <c r="E132" s="1">
        <f t="shared" si="16"/>
        <v>105.97551</v>
      </c>
      <c r="F132" s="22"/>
      <c r="G132" s="22"/>
      <c r="H132" s="22"/>
      <c r="I132" s="22"/>
      <c r="J132" s="22"/>
      <c r="K132" s="22"/>
      <c r="L132" s="22"/>
      <c r="M132" s="2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22"/>
      <c r="AA132" s="4"/>
      <c r="AB132" s="4"/>
      <c r="AC132" s="4"/>
      <c r="AD132" s="22"/>
      <c r="AE132" s="22"/>
      <c r="AF132" s="22"/>
      <c r="AG132" s="22"/>
      <c r="AH132" s="20"/>
      <c r="AI132" s="4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4"/>
      <c r="BA132" s="4"/>
      <c r="BB132" s="4"/>
      <c r="BC132" s="22"/>
      <c r="BD132" s="22"/>
      <c r="BE132" s="22"/>
      <c r="BF132" s="22">
        <v>166.5669</v>
      </c>
      <c r="BG132" s="22">
        <v>11.18393</v>
      </c>
      <c r="BH132" s="22">
        <v>86.4</v>
      </c>
      <c r="BI132" s="22">
        <v>94.79158</v>
      </c>
      <c r="BJ132" s="22"/>
      <c r="BK132" s="22"/>
      <c r="BL132" s="22"/>
      <c r="BM132" s="22"/>
      <c r="BN132" s="22"/>
      <c r="BO132" s="4"/>
      <c r="BP132" s="4"/>
      <c r="BQ132" s="4"/>
      <c r="BR132" s="4"/>
      <c r="BS132" s="4"/>
      <c r="BT132" s="22"/>
      <c r="BU132" s="24"/>
    </row>
    <row r="133" spans="1:73" ht="73.5" customHeight="1" outlineLevel="2">
      <c r="A133" s="46" t="s">
        <v>13</v>
      </c>
      <c r="B133" s="45" t="s">
        <v>649</v>
      </c>
      <c r="C133" s="2">
        <f t="shared" si="17"/>
        <v>21569.05516</v>
      </c>
      <c r="D133" s="1">
        <f t="shared" si="15"/>
        <v>5138.31105</v>
      </c>
      <c r="E133" s="1">
        <f t="shared" si="16"/>
        <v>16430.74411</v>
      </c>
      <c r="F133" s="22"/>
      <c r="G133" s="22"/>
      <c r="H133" s="22"/>
      <c r="I133" s="22"/>
      <c r="J133" s="22"/>
      <c r="K133" s="22"/>
      <c r="L133" s="22"/>
      <c r="M133" s="22"/>
      <c r="N133" s="4"/>
      <c r="O133" s="4"/>
      <c r="P133" s="4">
        <v>6550.85645</v>
      </c>
      <c r="Q133" s="4"/>
      <c r="R133" s="4"/>
      <c r="S133" s="4"/>
      <c r="T133" s="4">
        <v>2480.98506</v>
      </c>
      <c r="U133" s="4">
        <v>3898.34338</v>
      </c>
      <c r="V133" s="4"/>
      <c r="W133" s="4"/>
      <c r="X133" s="4"/>
      <c r="Y133" s="4"/>
      <c r="Z133" s="22">
        <v>173.75789</v>
      </c>
      <c r="AA133" s="22">
        <v>382.1175</v>
      </c>
      <c r="AB133" s="23">
        <v>1416.61598</v>
      </c>
      <c r="AC133" s="4">
        <v>368.28428</v>
      </c>
      <c r="AD133" s="22"/>
      <c r="AE133" s="22"/>
      <c r="AF133" s="22"/>
      <c r="AG133" s="22"/>
      <c r="AH133" s="20">
        <f>231.2496+209.5125</f>
        <v>440.7621</v>
      </c>
      <c r="AI133" s="4">
        <v>209.5125</v>
      </c>
      <c r="AJ133" s="22">
        <v>231.2496</v>
      </c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4"/>
      <c r="BA133" s="4"/>
      <c r="BB133" s="4"/>
      <c r="BC133" s="22"/>
      <c r="BD133" s="22">
        <f>2553.26252+1569.99975</f>
        <v>4123.26227</v>
      </c>
      <c r="BE133" s="22"/>
      <c r="BF133" s="22">
        <f>192.94928+874.00284</f>
        <v>1066.95212</v>
      </c>
      <c r="BG133" s="22">
        <f>120.31999+546.79814</f>
        <v>667.11813</v>
      </c>
      <c r="BH133" s="22"/>
      <c r="BI133" s="22"/>
      <c r="BJ133" s="22"/>
      <c r="BK133" s="22"/>
      <c r="BL133" s="22"/>
      <c r="BM133" s="22"/>
      <c r="BN133" s="22"/>
      <c r="BO133" s="4"/>
      <c r="BP133" s="4"/>
      <c r="BQ133" s="4"/>
      <c r="BR133" s="4"/>
      <c r="BS133" s="4"/>
      <c r="BT133" s="22"/>
      <c r="BU133" s="24"/>
    </row>
    <row r="134" spans="1:73" ht="73.5" customHeight="1" outlineLevel="2">
      <c r="A134" s="46" t="s">
        <v>13</v>
      </c>
      <c r="B134" s="45" t="s">
        <v>226</v>
      </c>
      <c r="C134" s="2">
        <f t="shared" si="17"/>
        <v>203.82658000000004</v>
      </c>
      <c r="D134" s="1">
        <f t="shared" si="15"/>
        <v>49.37191</v>
      </c>
      <c r="E134" s="1">
        <f t="shared" si="16"/>
        <v>154.45467000000002</v>
      </c>
      <c r="F134" s="22"/>
      <c r="G134" s="22"/>
      <c r="H134" s="22"/>
      <c r="I134" s="22"/>
      <c r="J134" s="22"/>
      <c r="K134" s="22"/>
      <c r="L134" s="22"/>
      <c r="M134" s="2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22"/>
      <c r="AA134" s="4">
        <v>30.764</v>
      </c>
      <c r="AB134" s="23">
        <v>10.78344</v>
      </c>
      <c r="AC134" s="4">
        <v>2.68055</v>
      </c>
      <c r="AD134" s="22"/>
      <c r="AE134" s="22"/>
      <c r="AF134" s="22"/>
      <c r="AG134" s="22"/>
      <c r="AH134" s="20"/>
      <c r="AI134" s="4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4"/>
      <c r="BA134" s="4"/>
      <c r="BB134" s="4"/>
      <c r="BC134" s="22"/>
      <c r="BD134" s="22">
        <v>101.5056</v>
      </c>
      <c r="BE134" s="22"/>
      <c r="BF134" s="22">
        <v>27.78847</v>
      </c>
      <c r="BG134" s="22">
        <v>5.73291</v>
      </c>
      <c r="BH134" s="22">
        <v>10.8</v>
      </c>
      <c r="BI134" s="22">
        <v>13.77161</v>
      </c>
      <c r="BJ134" s="22"/>
      <c r="BK134" s="22"/>
      <c r="BL134" s="22"/>
      <c r="BM134" s="22"/>
      <c r="BN134" s="22"/>
      <c r="BO134" s="4"/>
      <c r="BP134" s="4"/>
      <c r="BQ134" s="4"/>
      <c r="BR134" s="4"/>
      <c r="BS134" s="4"/>
      <c r="BT134" s="22"/>
      <c r="BU134" s="24"/>
    </row>
    <row r="135" spans="1:73" ht="73.5" customHeight="1" outlineLevel="2">
      <c r="A135" s="46" t="s">
        <v>13</v>
      </c>
      <c r="B135" s="45" t="s">
        <v>630</v>
      </c>
      <c r="C135" s="2">
        <f t="shared" si="17"/>
        <v>545.0289300000001</v>
      </c>
      <c r="D135" s="1">
        <f t="shared" si="15"/>
        <v>208.08444</v>
      </c>
      <c r="E135" s="1">
        <f t="shared" si="16"/>
        <v>336.94449000000003</v>
      </c>
      <c r="F135" s="22"/>
      <c r="G135" s="22"/>
      <c r="H135" s="22"/>
      <c r="I135" s="22"/>
      <c r="J135" s="22"/>
      <c r="K135" s="22"/>
      <c r="L135" s="22"/>
      <c r="M135" s="2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22"/>
      <c r="AA135" s="4">
        <v>191.23466</v>
      </c>
      <c r="AB135" s="4">
        <v>8.5247</v>
      </c>
      <c r="AC135" s="4">
        <v>3.49637</v>
      </c>
      <c r="AD135" s="22"/>
      <c r="AE135" s="22"/>
      <c r="AF135" s="22"/>
      <c r="AG135" s="22"/>
      <c r="AH135" s="20"/>
      <c r="AI135" s="4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4"/>
      <c r="BA135" s="4"/>
      <c r="BB135" s="4"/>
      <c r="BC135" s="22"/>
      <c r="BD135" s="22"/>
      <c r="BE135" s="22"/>
      <c r="BF135" s="22">
        <v>199.55974</v>
      </c>
      <c r="BG135" s="22">
        <v>23.08989</v>
      </c>
      <c r="BH135" s="22"/>
      <c r="BI135" s="22">
        <v>106.43828</v>
      </c>
      <c r="BJ135" s="22">
        <v>12.68529</v>
      </c>
      <c r="BK135" s="22"/>
      <c r="BL135" s="22"/>
      <c r="BM135" s="22"/>
      <c r="BN135" s="22"/>
      <c r="BO135" s="4"/>
      <c r="BP135" s="4"/>
      <c r="BQ135" s="4"/>
      <c r="BR135" s="4"/>
      <c r="BS135" s="4"/>
      <c r="BT135" s="22"/>
      <c r="BU135" s="24"/>
    </row>
    <row r="136" spans="1:73" ht="73.5" customHeight="1" outlineLevel="2">
      <c r="A136" s="46" t="s">
        <v>13</v>
      </c>
      <c r="B136" s="45" t="s">
        <v>631</v>
      </c>
      <c r="C136" s="2">
        <f t="shared" si="17"/>
        <v>656.73768</v>
      </c>
      <c r="D136" s="1">
        <f t="shared" si="15"/>
        <v>436.53326999999996</v>
      </c>
      <c r="E136" s="1">
        <f t="shared" si="16"/>
        <v>220.20441</v>
      </c>
      <c r="F136" s="22"/>
      <c r="G136" s="22"/>
      <c r="H136" s="22"/>
      <c r="I136" s="22"/>
      <c r="J136" s="22"/>
      <c r="K136" s="22"/>
      <c r="L136" s="22"/>
      <c r="M136" s="22"/>
      <c r="N136" s="4">
        <v>5.77193</v>
      </c>
      <c r="O136" s="4">
        <v>0.29901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0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>
        <v>399.91387</v>
      </c>
      <c r="AZ136" s="4">
        <v>213.55864</v>
      </c>
      <c r="BA136" s="4"/>
      <c r="BB136" s="4"/>
      <c r="BC136" s="22"/>
      <c r="BD136" s="22"/>
      <c r="BE136" s="22"/>
      <c r="BF136" s="22">
        <v>30.84747</v>
      </c>
      <c r="BG136" s="22">
        <v>6.34676</v>
      </c>
      <c r="BH136" s="22"/>
      <c r="BI136" s="22"/>
      <c r="BJ136" s="22"/>
      <c r="BK136" s="22"/>
      <c r="BL136" s="22"/>
      <c r="BM136" s="22"/>
      <c r="BN136" s="22"/>
      <c r="BO136" s="4"/>
      <c r="BP136" s="4"/>
      <c r="BQ136" s="4"/>
      <c r="BR136" s="4"/>
      <c r="BS136" s="4"/>
      <c r="BT136" s="22"/>
      <c r="BU136" s="24"/>
    </row>
    <row r="137" spans="1:73" ht="73.5" customHeight="1" outlineLevel="2">
      <c r="A137" s="46" t="s">
        <v>13</v>
      </c>
      <c r="B137" s="45" t="s">
        <v>632</v>
      </c>
      <c r="C137" s="2">
        <f t="shared" si="17"/>
        <v>892.34052</v>
      </c>
      <c r="D137" s="1">
        <f t="shared" si="15"/>
        <v>131.40112</v>
      </c>
      <c r="E137" s="1">
        <f t="shared" si="16"/>
        <v>760.9394</v>
      </c>
      <c r="F137" s="22"/>
      <c r="G137" s="22"/>
      <c r="H137" s="22"/>
      <c r="I137" s="22"/>
      <c r="J137" s="22"/>
      <c r="K137" s="22"/>
      <c r="L137" s="22"/>
      <c r="M137" s="2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22"/>
      <c r="AA137" s="4"/>
      <c r="AB137" s="4"/>
      <c r="AC137" s="4"/>
      <c r="AD137" s="22"/>
      <c r="AE137" s="22"/>
      <c r="AF137" s="22"/>
      <c r="AG137" s="22"/>
      <c r="AH137" s="20"/>
      <c r="AI137" s="4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>
        <v>42.32</v>
      </c>
      <c r="AX137" s="22">
        <v>224.64</v>
      </c>
      <c r="AY137" s="22"/>
      <c r="AZ137" s="4"/>
      <c r="BA137" s="4"/>
      <c r="BB137" s="4"/>
      <c r="BC137" s="22"/>
      <c r="BD137" s="22">
        <f>279.1698+132.5</f>
        <v>411.6698</v>
      </c>
      <c r="BE137" s="22"/>
      <c r="BF137" s="22">
        <v>131.40112</v>
      </c>
      <c r="BG137" s="22">
        <v>82.3096</v>
      </c>
      <c r="BH137" s="22"/>
      <c r="BI137" s="22"/>
      <c r="BJ137" s="22"/>
      <c r="BK137" s="22"/>
      <c r="BL137" s="22"/>
      <c r="BM137" s="22"/>
      <c r="BN137" s="22"/>
      <c r="BO137" s="4"/>
      <c r="BP137" s="4"/>
      <c r="BQ137" s="4"/>
      <c r="BR137" s="4"/>
      <c r="BS137" s="4"/>
      <c r="BT137" s="22"/>
      <c r="BU137" s="24"/>
    </row>
    <row r="138" spans="1:73" ht="73.5" customHeight="1" outlineLevel="2">
      <c r="A138" s="46" t="s">
        <v>13</v>
      </c>
      <c r="B138" s="45" t="s">
        <v>633</v>
      </c>
      <c r="C138" s="2">
        <f t="shared" si="17"/>
        <v>1578.32736</v>
      </c>
      <c r="D138" s="1">
        <f t="shared" si="15"/>
        <v>91.18068</v>
      </c>
      <c r="E138" s="1">
        <f t="shared" si="16"/>
        <v>1487.14668</v>
      </c>
      <c r="F138" s="22"/>
      <c r="G138" s="22"/>
      <c r="H138" s="22"/>
      <c r="I138" s="22"/>
      <c r="J138" s="22"/>
      <c r="K138" s="22"/>
      <c r="L138" s="22"/>
      <c r="M138" s="22">
        <v>1052.71451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22">
        <v>26.50896</v>
      </c>
      <c r="AA138" s="4">
        <v>32.73921</v>
      </c>
      <c r="AB138" s="4"/>
      <c r="AC138" s="4"/>
      <c r="AD138" s="22"/>
      <c r="AE138" s="22"/>
      <c r="AF138" s="22"/>
      <c r="AG138" s="22"/>
      <c r="AH138" s="20"/>
      <c r="AI138" s="4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4"/>
      <c r="BA138" s="4"/>
      <c r="BB138" s="4"/>
      <c r="BC138" s="22"/>
      <c r="BD138" s="22">
        <v>248.0618</v>
      </c>
      <c r="BE138" s="22"/>
      <c r="BF138" s="22">
        <v>51.17172</v>
      </c>
      <c r="BG138" s="22">
        <v>8.73744</v>
      </c>
      <c r="BH138" s="22">
        <v>13.5</v>
      </c>
      <c r="BI138" s="22">
        <v>25.78379</v>
      </c>
      <c r="BJ138" s="22">
        <v>119.10993</v>
      </c>
      <c r="BK138" s="22"/>
      <c r="BL138" s="22"/>
      <c r="BM138" s="22"/>
      <c r="BN138" s="22"/>
      <c r="BO138" s="4"/>
      <c r="BP138" s="4"/>
      <c r="BQ138" s="4"/>
      <c r="BR138" s="4"/>
      <c r="BS138" s="4"/>
      <c r="BT138" s="22"/>
      <c r="BU138" s="24"/>
    </row>
    <row r="139" spans="1:73" ht="73.5" customHeight="1" outlineLevel="2">
      <c r="A139" s="46" t="s">
        <v>13</v>
      </c>
      <c r="B139" s="45" t="s">
        <v>634</v>
      </c>
      <c r="C139" s="2">
        <f t="shared" si="17"/>
        <v>3288.0877199999995</v>
      </c>
      <c r="D139" s="1">
        <f t="shared" si="15"/>
        <v>28.010730000000002</v>
      </c>
      <c r="E139" s="1">
        <f t="shared" si="16"/>
        <v>3260.0769899999996</v>
      </c>
      <c r="F139" s="22"/>
      <c r="G139" s="22"/>
      <c r="H139" s="22"/>
      <c r="I139" s="22"/>
      <c r="J139" s="22"/>
      <c r="K139" s="22"/>
      <c r="L139" s="22"/>
      <c r="M139" s="22">
        <v>3030.58852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22"/>
      <c r="AA139" s="4"/>
      <c r="AB139" s="23">
        <v>4.56667</v>
      </c>
      <c r="AC139" s="4">
        <v>1.16546</v>
      </c>
      <c r="AD139" s="22"/>
      <c r="AE139" s="22"/>
      <c r="AF139" s="22"/>
      <c r="AG139" s="22"/>
      <c r="AH139" s="20"/>
      <c r="AI139" s="4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4"/>
      <c r="BA139" s="4"/>
      <c r="BB139" s="4"/>
      <c r="BC139" s="22"/>
      <c r="BD139" s="22">
        <v>214.8405</v>
      </c>
      <c r="BE139" s="22"/>
      <c r="BF139" s="22">
        <v>18.04406</v>
      </c>
      <c r="BG139" s="22">
        <v>5.44821</v>
      </c>
      <c r="BH139" s="22">
        <v>5.4</v>
      </c>
      <c r="BI139" s="22">
        <v>8.0343</v>
      </c>
      <c r="BJ139" s="22"/>
      <c r="BK139" s="22"/>
      <c r="BL139" s="22"/>
      <c r="BM139" s="22"/>
      <c r="BN139" s="22"/>
      <c r="BO139" s="4"/>
      <c r="BP139" s="4"/>
      <c r="BQ139" s="4"/>
      <c r="BR139" s="4"/>
      <c r="BS139" s="4"/>
      <c r="BT139" s="22"/>
      <c r="BU139" s="24"/>
    </row>
    <row r="140" spans="1:73" ht="73.5" customHeight="1" outlineLevel="2">
      <c r="A140" s="46" t="s">
        <v>13</v>
      </c>
      <c r="B140" s="45" t="s">
        <v>755</v>
      </c>
      <c r="C140" s="2">
        <f t="shared" si="17"/>
        <v>187.34041000000002</v>
      </c>
      <c r="D140" s="1">
        <f t="shared" si="15"/>
        <v>117.26487</v>
      </c>
      <c r="E140" s="1">
        <f t="shared" si="16"/>
        <v>70.07554</v>
      </c>
      <c r="F140" s="22"/>
      <c r="G140" s="22"/>
      <c r="H140" s="22"/>
      <c r="I140" s="22"/>
      <c r="J140" s="22"/>
      <c r="K140" s="22"/>
      <c r="L140" s="22"/>
      <c r="M140" s="2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22"/>
      <c r="AA140" s="4"/>
      <c r="AB140" s="4"/>
      <c r="AC140" s="4"/>
      <c r="AD140" s="22"/>
      <c r="AE140" s="22"/>
      <c r="AF140" s="22"/>
      <c r="AG140" s="22"/>
      <c r="AH140" s="20"/>
      <c r="AI140" s="4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4"/>
      <c r="BA140" s="4"/>
      <c r="BB140" s="4"/>
      <c r="BC140" s="22"/>
      <c r="BD140" s="22"/>
      <c r="BE140" s="22"/>
      <c r="BF140" s="22">
        <v>117.26487</v>
      </c>
      <c r="BG140" s="22">
        <v>0.76016</v>
      </c>
      <c r="BH140" s="22"/>
      <c r="BI140" s="22">
        <v>69.31538</v>
      </c>
      <c r="BJ140" s="22"/>
      <c r="BK140" s="22"/>
      <c r="BL140" s="22"/>
      <c r="BM140" s="22"/>
      <c r="BN140" s="22"/>
      <c r="BO140" s="4"/>
      <c r="BP140" s="4"/>
      <c r="BQ140" s="4"/>
      <c r="BR140" s="4"/>
      <c r="BS140" s="4"/>
      <c r="BT140" s="22"/>
      <c r="BU140" s="24"/>
    </row>
    <row r="141" spans="1:73" ht="73.5" customHeight="1" outlineLevel="2">
      <c r="A141" s="46" t="s">
        <v>13</v>
      </c>
      <c r="B141" s="45" t="s">
        <v>635</v>
      </c>
      <c r="C141" s="2">
        <f t="shared" si="17"/>
        <v>724.1179999999999</v>
      </c>
      <c r="D141" s="1">
        <f t="shared" si="15"/>
        <v>49.94715</v>
      </c>
      <c r="E141" s="1">
        <f t="shared" si="16"/>
        <v>674.17085</v>
      </c>
      <c r="F141" s="22"/>
      <c r="G141" s="22"/>
      <c r="H141" s="22"/>
      <c r="I141" s="22"/>
      <c r="J141" s="22"/>
      <c r="K141" s="22"/>
      <c r="L141" s="22"/>
      <c r="M141" s="2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22"/>
      <c r="AA141" s="4"/>
      <c r="AB141" s="23"/>
      <c r="AC141" s="4"/>
      <c r="AD141" s="22"/>
      <c r="AE141" s="22"/>
      <c r="AF141" s="22"/>
      <c r="AG141" s="22"/>
      <c r="AH141" s="20"/>
      <c r="AI141" s="4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4"/>
      <c r="BA141" s="4"/>
      <c r="BB141" s="4"/>
      <c r="BC141" s="22"/>
      <c r="BD141" s="22">
        <v>565.8191</v>
      </c>
      <c r="BE141" s="22"/>
      <c r="BF141" s="22">
        <v>49.94715</v>
      </c>
      <c r="BG141" s="22">
        <v>31.28864</v>
      </c>
      <c r="BH141" s="22"/>
      <c r="BI141" s="22"/>
      <c r="BJ141" s="22">
        <v>77.06311</v>
      </c>
      <c r="BK141" s="22"/>
      <c r="BL141" s="22"/>
      <c r="BM141" s="22"/>
      <c r="BN141" s="22"/>
      <c r="BO141" s="4"/>
      <c r="BP141" s="4"/>
      <c r="BQ141" s="4"/>
      <c r="BR141" s="4"/>
      <c r="BS141" s="4"/>
      <c r="BT141" s="22"/>
      <c r="BU141" s="24"/>
    </row>
    <row r="142" spans="1:73" ht="73.5" customHeight="1" outlineLevel="2">
      <c r="A142" s="46" t="s">
        <v>13</v>
      </c>
      <c r="B142" s="45" t="s">
        <v>636</v>
      </c>
      <c r="C142" s="2">
        <f t="shared" si="17"/>
        <v>387.24676</v>
      </c>
      <c r="D142" s="1">
        <f t="shared" si="15"/>
        <v>151.51473000000001</v>
      </c>
      <c r="E142" s="1">
        <f t="shared" si="16"/>
        <v>235.73203</v>
      </c>
      <c r="F142" s="22"/>
      <c r="G142" s="22"/>
      <c r="H142" s="22"/>
      <c r="I142" s="22"/>
      <c r="J142" s="22"/>
      <c r="K142" s="22"/>
      <c r="L142" s="22"/>
      <c r="M142" s="22"/>
      <c r="N142" s="4">
        <v>7.73356</v>
      </c>
      <c r="O142" s="4">
        <v>0.40182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22"/>
      <c r="AA142" s="4"/>
      <c r="AB142" s="4"/>
      <c r="AC142" s="4"/>
      <c r="AD142" s="22"/>
      <c r="AE142" s="22"/>
      <c r="AF142" s="22"/>
      <c r="AG142" s="22"/>
      <c r="AH142" s="20"/>
      <c r="AI142" s="4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>
        <v>127.58946</v>
      </c>
      <c r="AZ142" s="4">
        <v>69.20807</v>
      </c>
      <c r="BA142" s="4"/>
      <c r="BB142" s="4"/>
      <c r="BC142" s="22"/>
      <c r="BD142" s="22"/>
      <c r="BE142" s="22">
        <v>156</v>
      </c>
      <c r="BF142" s="22">
        <v>16.19171</v>
      </c>
      <c r="BG142" s="22">
        <v>10.12214</v>
      </c>
      <c r="BH142" s="22"/>
      <c r="BI142" s="22"/>
      <c r="BJ142" s="22"/>
      <c r="BK142" s="22"/>
      <c r="BL142" s="22"/>
      <c r="BM142" s="22"/>
      <c r="BN142" s="22"/>
      <c r="BO142" s="4"/>
      <c r="BP142" s="4"/>
      <c r="BQ142" s="4"/>
      <c r="BR142" s="4"/>
      <c r="BS142" s="4"/>
      <c r="BT142" s="22"/>
      <c r="BU142" s="24"/>
    </row>
    <row r="143" spans="1:73" ht="73.5" customHeight="1" outlineLevel="2">
      <c r="A143" s="46" t="s">
        <v>13</v>
      </c>
      <c r="B143" s="45" t="s">
        <v>650</v>
      </c>
      <c r="C143" s="2">
        <f t="shared" si="17"/>
        <v>6104.3520100000005</v>
      </c>
      <c r="D143" s="1">
        <f t="shared" si="15"/>
        <v>365.88161</v>
      </c>
      <c r="E143" s="1">
        <f t="shared" si="16"/>
        <v>5738.4704</v>
      </c>
      <c r="F143" s="22"/>
      <c r="G143" s="22"/>
      <c r="H143" s="22"/>
      <c r="I143" s="22"/>
      <c r="J143" s="22"/>
      <c r="K143" s="22"/>
      <c r="L143" s="22"/>
      <c r="M143" s="22">
        <v>3969.59883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22"/>
      <c r="AA143" s="4">
        <v>126.84491</v>
      </c>
      <c r="AB143" s="4"/>
      <c r="AC143" s="4"/>
      <c r="AD143" s="22"/>
      <c r="AE143" s="22"/>
      <c r="AF143" s="22"/>
      <c r="AG143" s="22"/>
      <c r="AH143" s="20"/>
      <c r="AI143" s="4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4"/>
      <c r="BA143" s="4"/>
      <c r="BB143" s="4"/>
      <c r="BC143" s="22"/>
      <c r="BD143" s="22">
        <v>206.29455</v>
      </c>
      <c r="BE143" s="22">
        <v>265.5</v>
      </c>
      <c r="BF143" s="22">
        <v>244.38161</v>
      </c>
      <c r="BG143" s="22">
        <v>22.13897</v>
      </c>
      <c r="BH143" s="22">
        <v>121.5</v>
      </c>
      <c r="BI143" s="22">
        <v>131.75535</v>
      </c>
      <c r="BJ143" s="22">
        <v>1016.33779</v>
      </c>
      <c r="BK143" s="22"/>
      <c r="BL143" s="22"/>
      <c r="BM143" s="22"/>
      <c r="BN143" s="22"/>
      <c r="BO143" s="4"/>
      <c r="BP143" s="4"/>
      <c r="BQ143" s="4"/>
      <c r="BR143" s="4"/>
      <c r="BS143" s="4"/>
      <c r="BT143" s="22"/>
      <c r="BU143" s="24"/>
    </row>
    <row r="144" spans="1:73" ht="73.5" customHeight="1" outlineLevel="2">
      <c r="A144" s="46" t="s">
        <v>13</v>
      </c>
      <c r="B144" s="45" t="s">
        <v>754</v>
      </c>
      <c r="C144" s="2">
        <f t="shared" si="17"/>
        <v>4706.5042</v>
      </c>
      <c r="D144" s="1">
        <f t="shared" si="15"/>
        <v>30.54596</v>
      </c>
      <c r="E144" s="1">
        <f t="shared" si="16"/>
        <v>4675.95824</v>
      </c>
      <c r="F144" s="22"/>
      <c r="G144" s="22"/>
      <c r="H144" s="22"/>
      <c r="I144" s="22"/>
      <c r="J144" s="22"/>
      <c r="K144" s="22"/>
      <c r="L144" s="22"/>
      <c r="M144" s="2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22"/>
      <c r="AA144" s="4"/>
      <c r="AB144" s="23"/>
      <c r="AC144" s="4"/>
      <c r="AD144" s="22"/>
      <c r="AE144" s="22"/>
      <c r="AF144" s="22"/>
      <c r="AG144" s="22"/>
      <c r="AH144" s="20"/>
      <c r="AI144" s="4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4"/>
      <c r="BA144" s="4"/>
      <c r="BB144" s="4"/>
      <c r="BC144" s="22"/>
      <c r="BD144" s="22"/>
      <c r="BE144" s="22"/>
      <c r="BF144" s="22">
        <v>30.54596</v>
      </c>
      <c r="BG144" s="22">
        <v>19.10024</v>
      </c>
      <c r="BH144" s="22"/>
      <c r="BI144" s="22"/>
      <c r="BJ144" s="22"/>
      <c r="BK144" s="22"/>
      <c r="BL144" s="22"/>
      <c r="BM144" s="22"/>
      <c r="BN144" s="22"/>
      <c r="BO144" s="4"/>
      <c r="BP144" s="4"/>
      <c r="BQ144" s="4"/>
      <c r="BR144" s="4"/>
      <c r="BS144" s="4"/>
      <c r="BT144" s="22">
        <v>4656.858</v>
      </c>
      <c r="BU144" s="24"/>
    </row>
    <row r="145" spans="1:73" ht="73.5" customHeight="1" outlineLevel="2">
      <c r="A145" s="46" t="s">
        <v>13</v>
      </c>
      <c r="B145" s="45" t="s">
        <v>637</v>
      </c>
      <c r="C145" s="2">
        <f t="shared" si="17"/>
        <v>2108.02482</v>
      </c>
      <c r="D145" s="1">
        <f t="shared" si="15"/>
        <v>297.11852</v>
      </c>
      <c r="E145" s="1">
        <f t="shared" si="16"/>
        <v>1810.9063</v>
      </c>
      <c r="F145" s="22"/>
      <c r="G145" s="22"/>
      <c r="H145" s="22"/>
      <c r="I145" s="22"/>
      <c r="J145" s="22"/>
      <c r="K145" s="22"/>
      <c r="L145" s="22"/>
      <c r="M145" s="22">
        <f>494.98471+1154.96433</f>
        <v>1649.94904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22"/>
      <c r="AA145" s="4"/>
      <c r="AB145" s="23">
        <v>44.71685</v>
      </c>
      <c r="AC145" s="4">
        <v>15.73366</v>
      </c>
      <c r="AD145" s="22"/>
      <c r="AE145" s="22"/>
      <c r="AF145" s="22"/>
      <c r="AG145" s="22"/>
      <c r="AH145" s="20"/>
      <c r="AI145" s="4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>
        <v>200.49828</v>
      </c>
      <c r="AZ145" s="4">
        <v>112.8006</v>
      </c>
      <c r="BA145" s="4"/>
      <c r="BB145" s="4"/>
      <c r="BC145" s="22"/>
      <c r="BD145" s="22"/>
      <c r="BE145" s="22"/>
      <c r="BF145" s="22">
        <v>51.90339</v>
      </c>
      <c r="BG145" s="22">
        <v>32.423</v>
      </c>
      <c r="BH145" s="22"/>
      <c r="BI145" s="22"/>
      <c r="BJ145" s="22"/>
      <c r="BK145" s="22"/>
      <c r="BL145" s="22"/>
      <c r="BM145" s="22"/>
      <c r="BN145" s="22"/>
      <c r="BO145" s="4"/>
      <c r="BP145" s="4"/>
      <c r="BQ145" s="4"/>
      <c r="BR145" s="4"/>
      <c r="BS145" s="4"/>
      <c r="BT145" s="22"/>
      <c r="BU145" s="24"/>
    </row>
    <row r="146" spans="1:73" ht="73.5" customHeight="1" outlineLevel="2">
      <c r="A146" s="46" t="s">
        <v>13</v>
      </c>
      <c r="B146" s="45" t="s">
        <v>863</v>
      </c>
      <c r="C146" s="2">
        <f>D146+E146</f>
        <v>43.96879</v>
      </c>
      <c r="D146" s="1">
        <f t="shared" si="15"/>
        <v>0</v>
      </c>
      <c r="E146" s="1">
        <f t="shared" si="16"/>
        <v>43.96879</v>
      </c>
      <c r="F146" s="22"/>
      <c r="G146" s="22"/>
      <c r="H146" s="22"/>
      <c r="I146" s="22"/>
      <c r="J146" s="22"/>
      <c r="K146" s="22"/>
      <c r="L146" s="22"/>
      <c r="M146" s="2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22"/>
      <c r="AA146" s="4"/>
      <c r="AB146" s="23"/>
      <c r="AC146" s="4"/>
      <c r="AD146" s="22"/>
      <c r="AE146" s="22"/>
      <c r="AF146" s="22"/>
      <c r="AG146" s="22"/>
      <c r="AH146" s="20"/>
      <c r="AI146" s="4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4"/>
      <c r="BA146" s="4"/>
      <c r="BB146" s="4"/>
      <c r="BC146" s="22"/>
      <c r="BD146" s="22"/>
      <c r="BE146" s="22"/>
      <c r="BF146" s="22"/>
      <c r="BG146" s="22"/>
      <c r="BH146" s="22"/>
      <c r="BI146" s="22"/>
      <c r="BJ146" s="22">
        <v>43.96879</v>
      </c>
      <c r="BK146" s="22"/>
      <c r="BL146" s="22"/>
      <c r="BM146" s="22"/>
      <c r="BN146" s="22"/>
      <c r="BO146" s="4"/>
      <c r="BP146" s="4"/>
      <c r="BQ146" s="4"/>
      <c r="BR146" s="4"/>
      <c r="BS146" s="4"/>
      <c r="BT146" s="22"/>
      <c r="BU146" s="24"/>
    </row>
    <row r="147" spans="1:73" ht="73.5" customHeight="1" outlineLevel="2">
      <c r="A147" s="46" t="s">
        <v>13</v>
      </c>
      <c r="B147" s="45" t="s">
        <v>638</v>
      </c>
      <c r="C147" s="2">
        <f t="shared" si="17"/>
        <v>234.86103</v>
      </c>
      <c r="D147" s="1">
        <f t="shared" si="15"/>
        <v>145.76621</v>
      </c>
      <c r="E147" s="1">
        <f t="shared" si="16"/>
        <v>89.09482</v>
      </c>
      <c r="F147" s="22"/>
      <c r="G147" s="22"/>
      <c r="H147" s="22"/>
      <c r="I147" s="22"/>
      <c r="J147" s="22"/>
      <c r="K147" s="22"/>
      <c r="L147" s="22"/>
      <c r="M147" s="2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22"/>
      <c r="AA147" s="4"/>
      <c r="AB147" s="4"/>
      <c r="AC147" s="4"/>
      <c r="AD147" s="22"/>
      <c r="AE147" s="22"/>
      <c r="AF147" s="22"/>
      <c r="AG147" s="22"/>
      <c r="AH147" s="20"/>
      <c r="AI147" s="4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4"/>
      <c r="BA147" s="4"/>
      <c r="BB147" s="4"/>
      <c r="BC147" s="22"/>
      <c r="BD147" s="22"/>
      <c r="BE147" s="22"/>
      <c r="BF147" s="22">
        <v>145.76621</v>
      </c>
      <c r="BG147" s="22">
        <v>4.04211</v>
      </c>
      <c r="BH147" s="22"/>
      <c r="BI147" s="22">
        <v>85.05271</v>
      </c>
      <c r="BJ147" s="22"/>
      <c r="BK147" s="22"/>
      <c r="BL147" s="22"/>
      <c r="BM147" s="22"/>
      <c r="BN147" s="22"/>
      <c r="BO147" s="4"/>
      <c r="BP147" s="4"/>
      <c r="BQ147" s="4"/>
      <c r="BR147" s="4"/>
      <c r="BS147" s="4"/>
      <c r="BT147" s="22"/>
      <c r="BU147" s="24"/>
    </row>
    <row r="148" spans="1:73" ht="73.5" customHeight="1" outlineLevel="2">
      <c r="A148" s="46" t="s">
        <v>13</v>
      </c>
      <c r="B148" s="45" t="s">
        <v>639</v>
      </c>
      <c r="C148" s="2">
        <f t="shared" si="17"/>
        <v>194.79781</v>
      </c>
      <c r="D148" s="1">
        <f t="shared" si="15"/>
        <v>127.92348</v>
      </c>
      <c r="E148" s="1">
        <f t="shared" si="16"/>
        <v>66.87433</v>
      </c>
      <c r="F148" s="22"/>
      <c r="G148" s="22"/>
      <c r="H148" s="22"/>
      <c r="I148" s="22"/>
      <c r="J148" s="22"/>
      <c r="K148" s="22"/>
      <c r="L148" s="22"/>
      <c r="M148" s="22"/>
      <c r="N148" s="4">
        <v>12.09333</v>
      </c>
      <c r="O148" s="4">
        <v>0.48648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22"/>
      <c r="AA148" s="4"/>
      <c r="AB148" s="4"/>
      <c r="AC148" s="4"/>
      <c r="AD148" s="22"/>
      <c r="AE148" s="22"/>
      <c r="AF148" s="22"/>
      <c r="AG148" s="22"/>
      <c r="AH148" s="20"/>
      <c r="AI148" s="4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>
        <v>96.60447</v>
      </c>
      <c r="AZ148" s="4">
        <v>54.30611</v>
      </c>
      <c r="BA148" s="4"/>
      <c r="BB148" s="4"/>
      <c r="BC148" s="22"/>
      <c r="BD148" s="22"/>
      <c r="BE148" s="22"/>
      <c r="BF148" s="22">
        <v>19.22568</v>
      </c>
      <c r="BG148" s="22">
        <v>12.08174</v>
      </c>
      <c r="BH148" s="22"/>
      <c r="BI148" s="22"/>
      <c r="BJ148" s="22"/>
      <c r="BK148" s="22"/>
      <c r="BL148" s="22"/>
      <c r="BM148" s="22"/>
      <c r="BN148" s="22"/>
      <c r="BO148" s="4"/>
      <c r="BP148" s="4"/>
      <c r="BQ148" s="4"/>
      <c r="BR148" s="4"/>
      <c r="BS148" s="4"/>
      <c r="BT148" s="22"/>
      <c r="BU148" s="24"/>
    </row>
    <row r="149" spans="1:73" ht="73.5" customHeight="1" outlineLevel="2">
      <c r="A149" s="46" t="s">
        <v>13</v>
      </c>
      <c r="B149" s="45" t="s">
        <v>640</v>
      </c>
      <c r="C149" s="2">
        <f t="shared" si="17"/>
        <v>216.85003999999998</v>
      </c>
      <c r="D149" s="1">
        <f t="shared" si="15"/>
        <v>62.48492</v>
      </c>
      <c r="E149" s="1">
        <f t="shared" si="16"/>
        <v>154.36512</v>
      </c>
      <c r="F149" s="22"/>
      <c r="G149" s="22"/>
      <c r="H149" s="22"/>
      <c r="I149" s="22"/>
      <c r="J149" s="22"/>
      <c r="K149" s="22"/>
      <c r="L149" s="22"/>
      <c r="M149" s="2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22"/>
      <c r="AA149" s="4"/>
      <c r="AB149" s="4"/>
      <c r="AC149" s="4"/>
      <c r="AD149" s="22"/>
      <c r="AE149" s="22"/>
      <c r="AF149" s="22"/>
      <c r="AG149" s="22"/>
      <c r="AH149" s="20"/>
      <c r="AI149" s="4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>
        <v>141.44</v>
      </c>
      <c r="AY149" s="22"/>
      <c r="AZ149" s="4"/>
      <c r="BA149" s="4"/>
      <c r="BB149" s="4"/>
      <c r="BC149" s="22"/>
      <c r="BD149" s="22"/>
      <c r="BE149" s="22"/>
      <c r="BF149" s="22">
        <v>62.48492</v>
      </c>
      <c r="BG149" s="22">
        <v>12.92512</v>
      </c>
      <c r="BH149" s="22"/>
      <c r="BI149" s="22"/>
      <c r="BJ149" s="22"/>
      <c r="BK149" s="22"/>
      <c r="BL149" s="22"/>
      <c r="BM149" s="22"/>
      <c r="BN149" s="22"/>
      <c r="BO149" s="4"/>
      <c r="BP149" s="4"/>
      <c r="BQ149" s="4"/>
      <c r="BR149" s="4"/>
      <c r="BS149" s="4"/>
      <c r="BT149" s="22"/>
      <c r="BU149" s="24"/>
    </row>
    <row r="150" spans="1:73" ht="73.5" customHeight="1" outlineLevel="2">
      <c r="A150" s="46" t="s">
        <v>13</v>
      </c>
      <c r="B150" s="45" t="s">
        <v>641</v>
      </c>
      <c r="C150" s="2">
        <f t="shared" si="17"/>
        <v>31.87216</v>
      </c>
      <c r="D150" s="1">
        <f t="shared" si="15"/>
        <v>21.404420000000002</v>
      </c>
      <c r="E150" s="1">
        <f t="shared" si="16"/>
        <v>10.46774</v>
      </c>
      <c r="F150" s="22"/>
      <c r="G150" s="22"/>
      <c r="H150" s="22"/>
      <c r="I150" s="22"/>
      <c r="J150" s="22"/>
      <c r="K150" s="22"/>
      <c r="L150" s="22"/>
      <c r="M150" s="2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22"/>
      <c r="AA150" s="4"/>
      <c r="AB150" s="23">
        <v>11.9581</v>
      </c>
      <c r="AC150" s="28">
        <v>4.56859</v>
      </c>
      <c r="AD150" s="22"/>
      <c r="AE150" s="22"/>
      <c r="AF150" s="22"/>
      <c r="AG150" s="22"/>
      <c r="AH150" s="20"/>
      <c r="AI150" s="4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4"/>
      <c r="BA150" s="4"/>
      <c r="BB150" s="4"/>
      <c r="BC150" s="22"/>
      <c r="BD150" s="22"/>
      <c r="BE150" s="22"/>
      <c r="BF150" s="22">
        <v>9.44632</v>
      </c>
      <c r="BG150" s="22">
        <v>5.89915</v>
      </c>
      <c r="BH150" s="22"/>
      <c r="BI150" s="22"/>
      <c r="BJ150" s="22"/>
      <c r="BK150" s="22"/>
      <c r="BL150" s="22"/>
      <c r="BM150" s="22"/>
      <c r="BN150" s="22"/>
      <c r="BO150" s="4"/>
      <c r="BP150" s="4"/>
      <c r="BQ150" s="4"/>
      <c r="BR150" s="4"/>
      <c r="BS150" s="4"/>
      <c r="BT150" s="22"/>
      <c r="BU150" s="24"/>
    </row>
    <row r="151" spans="1:73" ht="73.5" customHeight="1" outlineLevel="2">
      <c r="A151" s="46" t="s">
        <v>13</v>
      </c>
      <c r="B151" s="45" t="s">
        <v>642</v>
      </c>
      <c r="C151" s="2">
        <f t="shared" si="17"/>
        <v>32.682739999999995</v>
      </c>
      <c r="D151" s="1">
        <f t="shared" si="15"/>
        <v>21.9684</v>
      </c>
      <c r="E151" s="1">
        <f t="shared" si="16"/>
        <v>10.71434</v>
      </c>
      <c r="F151" s="22"/>
      <c r="G151" s="22"/>
      <c r="H151" s="22"/>
      <c r="I151" s="22"/>
      <c r="J151" s="22"/>
      <c r="K151" s="22"/>
      <c r="L151" s="22"/>
      <c r="M151" s="2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22"/>
      <c r="AA151" s="4"/>
      <c r="AB151" s="23">
        <v>10.82265</v>
      </c>
      <c r="AC151" s="4">
        <v>3.75277</v>
      </c>
      <c r="AD151" s="22"/>
      <c r="AE151" s="22"/>
      <c r="AF151" s="22"/>
      <c r="AG151" s="22"/>
      <c r="AH151" s="20"/>
      <c r="AI151" s="4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4"/>
      <c r="BA151" s="4"/>
      <c r="BB151" s="4"/>
      <c r="BC151" s="22"/>
      <c r="BD151" s="22"/>
      <c r="BE151" s="22"/>
      <c r="BF151" s="22">
        <v>11.14575</v>
      </c>
      <c r="BG151" s="22">
        <v>6.96157</v>
      </c>
      <c r="BH151" s="22"/>
      <c r="BI151" s="22"/>
      <c r="BJ151" s="22"/>
      <c r="BK151" s="22"/>
      <c r="BL151" s="22"/>
      <c r="BM151" s="22"/>
      <c r="BN151" s="22"/>
      <c r="BO151" s="4"/>
      <c r="BP151" s="4"/>
      <c r="BQ151" s="4"/>
      <c r="BR151" s="4"/>
      <c r="BS151" s="4"/>
      <c r="BT151" s="22"/>
      <c r="BU151" s="24"/>
    </row>
    <row r="152" spans="1:73" ht="73.5" customHeight="1" outlineLevel="2">
      <c r="A152" s="46" t="s">
        <v>13</v>
      </c>
      <c r="B152" s="45" t="s">
        <v>643</v>
      </c>
      <c r="C152" s="2">
        <f t="shared" si="17"/>
        <v>108.37248</v>
      </c>
      <c r="D152" s="1">
        <f t="shared" si="15"/>
        <v>20.665570000000002</v>
      </c>
      <c r="E152" s="1">
        <f t="shared" si="16"/>
        <v>87.70691</v>
      </c>
      <c r="F152" s="22"/>
      <c r="G152" s="22"/>
      <c r="H152" s="22"/>
      <c r="I152" s="22"/>
      <c r="J152" s="22"/>
      <c r="K152" s="22"/>
      <c r="L152" s="22"/>
      <c r="M152" s="2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22"/>
      <c r="AA152" s="4"/>
      <c r="AB152" s="4">
        <v>12.23868</v>
      </c>
      <c r="AC152" s="4">
        <v>4.37046</v>
      </c>
      <c r="AD152" s="22"/>
      <c r="AE152" s="22"/>
      <c r="AF152" s="22"/>
      <c r="AG152" s="22"/>
      <c r="AH152" s="20"/>
      <c r="AI152" s="4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4"/>
      <c r="BA152" s="4"/>
      <c r="BB152" s="4"/>
      <c r="BC152" s="22"/>
      <c r="BD152" s="22"/>
      <c r="BE152" s="22">
        <v>78.0678</v>
      </c>
      <c r="BF152" s="22">
        <v>8.42689</v>
      </c>
      <c r="BG152" s="22">
        <v>5.26865</v>
      </c>
      <c r="BH152" s="22"/>
      <c r="BI152" s="22"/>
      <c r="BJ152" s="22"/>
      <c r="BK152" s="22"/>
      <c r="BL152" s="22"/>
      <c r="BM152" s="22"/>
      <c r="BN152" s="22"/>
      <c r="BO152" s="4"/>
      <c r="BP152" s="4"/>
      <c r="BQ152" s="4"/>
      <c r="BR152" s="4"/>
      <c r="BS152" s="4"/>
      <c r="BT152" s="22"/>
      <c r="BU152" s="24"/>
    </row>
    <row r="153" spans="1:73" ht="73.5" customHeight="1" outlineLevel="2">
      <c r="A153" s="46" t="s">
        <v>13</v>
      </c>
      <c r="B153" s="45" t="s">
        <v>644</v>
      </c>
      <c r="C153" s="2">
        <f t="shared" si="17"/>
        <v>1663.2729800000002</v>
      </c>
      <c r="D153" s="1">
        <f t="shared" si="15"/>
        <v>960.02479</v>
      </c>
      <c r="E153" s="1">
        <f t="shared" si="16"/>
        <v>703.24819</v>
      </c>
      <c r="F153" s="22"/>
      <c r="G153" s="22"/>
      <c r="H153" s="22"/>
      <c r="I153" s="22"/>
      <c r="J153" s="22">
        <v>152.60091</v>
      </c>
      <c r="K153" s="22">
        <v>37.68359</v>
      </c>
      <c r="L153" s="22"/>
      <c r="M153" s="22"/>
      <c r="N153" s="4">
        <v>9.96798</v>
      </c>
      <c r="O153" s="4">
        <v>0.50988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22"/>
      <c r="AA153" s="4"/>
      <c r="AB153" s="4"/>
      <c r="AC153" s="4"/>
      <c r="AD153" s="22"/>
      <c r="AE153" s="22"/>
      <c r="AF153" s="22"/>
      <c r="AG153" s="22"/>
      <c r="AH153" s="20"/>
      <c r="AI153" s="4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>
        <v>507.7042</v>
      </c>
      <c r="AZ153" s="4">
        <v>296.81566</v>
      </c>
      <c r="BA153" s="4"/>
      <c r="BB153" s="4"/>
      <c r="BC153" s="22"/>
      <c r="BD153" s="22"/>
      <c r="BE153" s="22">
        <v>179.4</v>
      </c>
      <c r="BF153" s="22">
        <v>289.7517</v>
      </c>
      <c r="BG153" s="22">
        <v>180.88675</v>
      </c>
      <c r="BH153" s="22"/>
      <c r="BI153" s="22"/>
      <c r="BJ153" s="22">
        <v>7.95231</v>
      </c>
      <c r="BK153" s="22"/>
      <c r="BL153" s="22"/>
      <c r="BM153" s="22"/>
      <c r="BN153" s="22"/>
      <c r="BO153" s="4"/>
      <c r="BP153" s="4"/>
      <c r="BQ153" s="4"/>
      <c r="BR153" s="4"/>
      <c r="BS153" s="4"/>
      <c r="BT153" s="22"/>
      <c r="BU153" s="24"/>
    </row>
    <row r="154" spans="1:73" ht="73.5" customHeight="1" outlineLevel="2">
      <c r="A154" s="46" t="s">
        <v>13</v>
      </c>
      <c r="B154" s="45" t="s">
        <v>795</v>
      </c>
      <c r="C154" s="2">
        <f>D154+E154</f>
        <v>3000</v>
      </c>
      <c r="D154" s="1">
        <f t="shared" si="15"/>
        <v>1500</v>
      </c>
      <c r="E154" s="1">
        <f t="shared" si="16"/>
        <v>1500</v>
      </c>
      <c r="F154" s="22"/>
      <c r="G154" s="22"/>
      <c r="H154" s="22"/>
      <c r="I154" s="22"/>
      <c r="J154" s="22"/>
      <c r="K154" s="22"/>
      <c r="L154" s="22"/>
      <c r="M154" s="2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22"/>
      <c r="AA154" s="4"/>
      <c r="AB154" s="4"/>
      <c r="AC154" s="4"/>
      <c r="AD154" s="22"/>
      <c r="AE154" s="22"/>
      <c r="AF154" s="22"/>
      <c r="AG154" s="22"/>
      <c r="AH154" s="20"/>
      <c r="AI154" s="4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4"/>
      <c r="BA154" s="4"/>
      <c r="BB154" s="4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4">
        <v>1500</v>
      </c>
      <c r="BP154" s="4">
        <v>1500</v>
      </c>
      <c r="BQ154" s="4"/>
      <c r="BR154" s="4"/>
      <c r="BS154" s="4"/>
      <c r="BT154" s="22"/>
      <c r="BU154" s="24"/>
    </row>
    <row r="155" spans="1:73" ht="73.5" customHeight="1" outlineLevel="2">
      <c r="A155" s="46" t="s">
        <v>13</v>
      </c>
      <c r="B155" s="45" t="s">
        <v>645</v>
      </c>
      <c r="C155" s="2">
        <f t="shared" si="17"/>
        <v>33.29666</v>
      </c>
      <c r="D155" s="1">
        <f t="shared" si="15"/>
        <v>20.50844</v>
      </c>
      <c r="E155" s="1">
        <f t="shared" si="16"/>
        <v>12.78822</v>
      </c>
      <c r="F155" s="22"/>
      <c r="G155" s="22"/>
      <c r="H155" s="22"/>
      <c r="I155" s="22"/>
      <c r="J155" s="22"/>
      <c r="K155" s="22"/>
      <c r="L155" s="22"/>
      <c r="M155" s="2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22"/>
      <c r="AA155" s="4"/>
      <c r="AB155" s="23"/>
      <c r="AC155" s="4"/>
      <c r="AD155" s="22"/>
      <c r="AE155" s="22"/>
      <c r="AF155" s="22"/>
      <c r="AG155" s="22"/>
      <c r="AH155" s="20"/>
      <c r="AI155" s="4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4"/>
      <c r="BA155" s="4"/>
      <c r="BB155" s="4"/>
      <c r="BC155" s="22"/>
      <c r="BD155" s="22"/>
      <c r="BE155" s="22"/>
      <c r="BF155" s="22">
        <v>20.50844</v>
      </c>
      <c r="BG155" s="22">
        <v>12.78822</v>
      </c>
      <c r="BH155" s="22"/>
      <c r="BI155" s="22"/>
      <c r="BJ155" s="22"/>
      <c r="BK155" s="22"/>
      <c r="BL155" s="22"/>
      <c r="BM155" s="22"/>
      <c r="BN155" s="22"/>
      <c r="BO155" s="4"/>
      <c r="BP155" s="4"/>
      <c r="BQ155" s="4"/>
      <c r="BR155" s="4"/>
      <c r="BS155" s="4"/>
      <c r="BT155" s="22"/>
      <c r="BU155" s="24"/>
    </row>
    <row r="156" spans="1:73" ht="73.5" customHeight="1" outlineLevel="2">
      <c r="A156" s="46" t="s">
        <v>13</v>
      </c>
      <c r="B156" s="45" t="s">
        <v>646</v>
      </c>
      <c r="C156" s="2">
        <f t="shared" si="17"/>
        <v>166.99080999999998</v>
      </c>
      <c r="D156" s="1">
        <f t="shared" si="15"/>
        <v>3.8199</v>
      </c>
      <c r="E156" s="1">
        <f t="shared" si="16"/>
        <v>163.17091</v>
      </c>
      <c r="F156" s="22"/>
      <c r="G156" s="22"/>
      <c r="H156" s="22"/>
      <c r="I156" s="22"/>
      <c r="J156" s="22"/>
      <c r="K156" s="22"/>
      <c r="L156" s="22"/>
      <c r="M156" s="2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22"/>
      <c r="AA156" s="4"/>
      <c r="AB156" s="4"/>
      <c r="AC156" s="4"/>
      <c r="AD156" s="22"/>
      <c r="AE156" s="22"/>
      <c r="AF156" s="22"/>
      <c r="AG156" s="22"/>
      <c r="AH156" s="20"/>
      <c r="AI156" s="4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>
        <v>160.7781</v>
      </c>
      <c r="AX156" s="22"/>
      <c r="AY156" s="22"/>
      <c r="AZ156" s="4"/>
      <c r="BA156" s="4"/>
      <c r="BB156" s="4"/>
      <c r="BC156" s="22"/>
      <c r="BD156" s="22"/>
      <c r="BE156" s="22"/>
      <c r="BF156" s="22">
        <v>3.8199</v>
      </c>
      <c r="BG156" s="22">
        <v>2.39281</v>
      </c>
      <c r="BH156" s="22"/>
      <c r="BI156" s="22"/>
      <c r="BJ156" s="22"/>
      <c r="BK156" s="22"/>
      <c r="BL156" s="22"/>
      <c r="BM156" s="22"/>
      <c r="BN156" s="22"/>
      <c r="BO156" s="4"/>
      <c r="BP156" s="4"/>
      <c r="BQ156" s="4"/>
      <c r="BR156" s="4"/>
      <c r="BS156" s="4"/>
      <c r="BT156" s="22"/>
      <c r="BU156" s="24"/>
    </row>
    <row r="157" spans="1:73" ht="73.5" customHeight="1" outlineLevel="2">
      <c r="A157" s="46" t="s">
        <v>13</v>
      </c>
      <c r="B157" s="45" t="s">
        <v>858</v>
      </c>
      <c r="C157" s="2">
        <f t="shared" si="17"/>
        <v>87.24123</v>
      </c>
      <c r="D157" s="1">
        <f t="shared" si="15"/>
        <v>0</v>
      </c>
      <c r="E157" s="1">
        <f t="shared" si="16"/>
        <v>87.24123</v>
      </c>
      <c r="F157" s="22"/>
      <c r="G157" s="22"/>
      <c r="H157" s="22"/>
      <c r="I157" s="22"/>
      <c r="J157" s="22"/>
      <c r="K157" s="22"/>
      <c r="L157" s="22"/>
      <c r="M157" s="2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22"/>
      <c r="AA157" s="4"/>
      <c r="AB157" s="4"/>
      <c r="AC157" s="4"/>
      <c r="AD157" s="22"/>
      <c r="AE157" s="22"/>
      <c r="AF157" s="22"/>
      <c r="AG157" s="22"/>
      <c r="AH157" s="20"/>
      <c r="AI157" s="4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4"/>
      <c r="BA157" s="4"/>
      <c r="BB157" s="4"/>
      <c r="BC157" s="22"/>
      <c r="BD157" s="22"/>
      <c r="BE157" s="22">
        <v>87.24123</v>
      </c>
      <c r="BF157" s="22"/>
      <c r="BG157" s="22"/>
      <c r="BH157" s="22"/>
      <c r="BI157" s="22"/>
      <c r="BJ157" s="22"/>
      <c r="BK157" s="22"/>
      <c r="BL157" s="22"/>
      <c r="BM157" s="22"/>
      <c r="BN157" s="22"/>
      <c r="BO157" s="4"/>
      <c r="BP157" s="4"/>
      <c r="BQ157" s="4"/>
      <c r="BR157" s="4"/>
      <c r="BS157" s="4"/>
      <c r="BT157" s="22"/>
      <c r="BU157" s="24"/>
    </row>
    <row r="158" spans="1:73" ht="73.5" customHeight="1" outlineLevel="2">
      <c r="A158" s="46" t="s">
        <v>13</v>
      </c>
      <c r="B158" s="45" t="s">
        <v>647</v>
      </c>
      <c r="C158" s="2">
        <f t="shared" si="17"/>
        <v>50.07568</v>
      </c>
      <c r="D158" s="1">
        <f t="shared" si="15"/>
        <v>33.75096</v>
      </c>
      <c r="E158" s="1">
        <f t="shared" si="16"/>
        <v>16.32472</v>
      </c>
      <c r="F158" s="22"/>
      <c r="G158" s="22"/>
      <c r="H158" s="22"/>
      <c r="I158" s="22"/>
      <c r="J158" s="22"/>
      <c r="K158" s="22"/>
      <c r="L158" s="22"/>
      <c r="M158" s="2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22"/>
      <c r="AA158" s="4">
        <v>0.31458</v>
      </c>
      <c r="AB158" s="4"/>
      <c r="AC158" s="4"/>
      <c r="AD158" s="22"/>
      <c r="AE158" s="22"/>
      <c r="AF158" s="22"/>
      <c r="AG158" s="22"/>
      <c r="AH158" s="20"/>
      <c r="AI158" s="4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4"/>
      <c r="BA158" s="4"/>
      <c r="BB158" s="4"/>
      <c r="BC158" s="22"/>
      <c r="BD158" s="22"/>
      <c r="BE158" s="22"/>
      <c r="BF158" s="22">
        <v>25.65096</v>
      </c>
      <c r="BG158" s="22">
        <v>1.51902</v>
      </c>
      <c r="BH158" s="22">
        <v>8.1</v>
      </c>
      <c r="BI158" s="22">
        <v>14.49112</v>
      </c>
      <c r="BJ158" s="22"/>
      <c r="BK158" s="22"/>
      <c r="BL158" s="22"/>
      <c r="BM158" s="22"/>
      <c r="BN158" s="22"/>
      <c r="BO158" s="4"/>
      <c r="BP158" s="4"/>
      <c r="BQ158" s="4"/>
      <c r="BR158" s="4"/>
      <c r="BS158" s="4"/>
      <c r="BT158" s="22"/>
      <c r="BU158" s="24"/>
    </row>
    <row r="159" spans="1:73" ht="73.5" customHeight="1" outlineLevel="2">
      <c r="A159" s="46" t="s">
        <v>13</v>
      </c>
      <c r="B159" s="45" t="s">
        <v>756</v>
      </c>
      <c r="C159" s="2">
        <f t="shared" si="17"/>
        <v>6202.0402699999995</v>
      </c>
      <c r="D159" s="1">
        <f t="shared" si="15"/>
        <v>199.57724</v>
      </c>
      <c r="E159" s="1">
        <f t="shared" si="16"/>
        <v>6002.46303</v>
      </c>
      <c r="F159" s="22"/>
      <c r="G159" s="22"/>
      <c r="H159" s="22"/>
      <c r="I159" s="22"/>
      <c r="J159" s="22"/>
      <c r="K159" s="22"/>
      <c r="L159" s="22"/>
      <c r="M159" s="22">
        <f>5746.28978</f>
        <v>5746.28978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22"/>
      <c r="AA159" s="4"/>
      <c r="AB159" s="4"/>
      <c r="AC159" s="4"/>
      <c r="AD159" s="22"/>
      <c r="AE159" s="22"/>
      <c r="AF159" s="22"/>
      <c r="AG159" s="22"/>
      <c r="AH159" s="20"/>
      <c r="AI159" s="4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4"/>
      <c r="BA159" s="4"/>
      <c r="BB159" s="4"/>
      <c r="BC159" s="22"/>
      <c r="BD159" s="22"/>
      <c r="BE159" s="22">
        <v>125</v>
      </c>
      <c r="BF159" s="22">
        <v>199.57724</v>
      </c>
      <c r="BG159" s="22">
        <v>23.06293</v>
      </c>
      <c r="BH159" s="22"/>
      <c r="BI159" s="22">
        <v>108.11032</v>
      </c>
      <c r="BJ159" s="22"/>
      <c r="BK159" s="22"/>
      <c r="BL159" s="22"/>
      <c r="BM159" s="22"/>
      <c r="BN159" s="22"/>
      <c r="BO159" s="4"/>
      <c r="BP159" s="4"/>
      <c r="BQ159" s="4"/>
      <c r="BR159" s="4"/>
      <c r="BS159" s="4"/>
      <c r="BT159" s="22"/>
      <c r="BU159" s="24"/>
    </row>
    <row r="160" spans="1:73" ht="73.5" customHeight="1" outlineLevel="2">
      <c r="A160" s="46" t="s">
        <v>13</v>
      </c>
      <c r="B160" s="45" t="s">
        <v>757</v>
      </c>
      <c r="C160" s="2">
        <f t="shared" si="17"/>
        <v>394.14887</v>
      </c>
      <c r="D160" s="1">
        <f t="shared" si="15"/>
        <v>147.55411</v>
      </c>
      <c r="E160" s="1">
        <f t="shared" si="16"/>
        <v>246.59476</v>
      </c>
      <c r="F160" s="22"/>
      <c r="G160" s="22"/>
      <c r="H160" s="22"/>
      <c r="I160" s="22"/>
      <c r="J160" s="22"/>
      <c r="K160" s="22"/>
      <c r="L160" s="22"/>
      <c r="M160" s="2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22"/>
      <c r="AA160" s="4">
        <v>182.87398</v>
      </c>
      <c r="AB160" s="4"/>
      <c r="AC160" s="4"/>
      <c r="AD160" s="22"/>
      <c r="AE160" s="22"/>
      <c r="AF160" s="22"/>
      <c r="AG160" s="22"/>
      <c r="AH160" s="20"/>
      <c r="AI160" s="4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4"/>
      <c r="BA160" s="4"/>
      <c r="BB160" s="4"/>
      <c r="BC160" s="22"/>
      <c r="BD160" s="22"/>
      <c r="BE160" s="22"/>
      <c r="BF160" s="22">
        <v>98.95411</v>
      </c>
      <c r="BG160" s="22">
        <v>9.57791</v>
      </c>
      <c r="BH160" s="22">
        <v>48.6</v>
      </c>
      <c r="BI160" s="22">
        <v>54.14287</v>
      </c>
      <c r="BJ160" s="22"/>
      <c r="BK160" s="22"/>
      <c r="BL160" s="22"/>
      <c r="BM160" s="22"/>
      <c r="BN160" s="22"/>
      <c r="BO160" s="4"/>
      <c r="BP160" s="4"/>
      <c r="BQ160" s="4"/>
      <c r="BR160" s="4"/>
      <c r="BS160" s="4"/>
      <c r="BT160" s="22"/>
      <c r="BU160" s="24"/>
    </row>
    <row r="161" spans="1:73" ht="73.5" customHeight="1" outlineLevel="2">
      <c r="A161" s="46" t="s">
        <v>13</v>
      </c>
      <c r="B161" s="45" t="s">
        <v>223</v>
      </c>
      <c r="C161" s="2">
        <f t="shared" si="17"/>
        <v>1008.10962</v>
      </c>
      <c r="D161" s="1">
        <f t="shared" si="15"/>
        <v>578.61562</v>
      </c>
      <c r="E161" s="1">
        <f t="shared" si="16"/>
        <v>429.49399999999997</v>
      </c>
      <c r="F161" s="22"/>
      <c r="G161" s="22"/>
      <c r="H161" s="22"/>
      <c r="I161" s="22"/>
      <c r="J161" s="22">
        <v>53.28327</v>
      </c>
      <c r="K161" s="22">
        <v>2.10735</v>
      </c>
      <c r="L161" s="22"/>
      <c r="M161" s="22"/>
      <c r="N161" s="4"/>
      <c r="O161" s="4"/>
      <c r="P161" s="4"/>
      <c r="Q161" s="4"/>
      <c r="R161" s="4">
        <v>27.30185</v>
      </c>
      <c r="S161" s="4">
        <v>16.51148</v>
      </c>
      <c r="T161" s="4"/>
      <c r="U161" s="4"/>
      <c r="V161" s="4"/>
      <c r="W161" s="4"/>
      <c r="X161" s="4"/>
      <c r="Y161" s="4"/>
      <c r="Z161" s="22"/>
      <c r="AA161" s="4">
        <v>91.10928</v>
      </c>
      <c r="AB161" s="23">
        <v>104.77772</v>
      </c>
      <c r="AC161" s="4">
        <v>34.9637</v>
      </c>
      <c r="AD161" s="22"/>
      <c r="AE161" s="22"/>
      <c r="AF161" s="22"/>
      <c r="AG161" s="22"/>
      <c r="AH161" s="20"/>
      <c r="AI161" s="4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4"/>
      <c r="BA161" s="4"/>
      <c r="BB161" s="4"/>
      <c r="BC161" s="22"/>
      <c r="BD161" s="22"/>
      <c r="BE161" s="22">
        <v>44.54476</v>
      </c>
      <c r="BF161" s="22">
        <v>328.45278</v>
      </c>
      <c r="BG161" s="22">
        <v>135.52447</v>
      </c>
      <c r="BH161" s="22">
        <v>64.8</v>
      </c>
      <c r="BI161" s="22">
        <v>104.73296</v>
      </c>
      <c r="BJ161" s="22"/>
      <c r="BK161" s="22"/>
      <c r="BL161" s="22"/>
      <c r="BM161" s="22"/>
      <c r="BN161" s="22"/>
      <c r="BO161" s="4"/>
      <c r="BP161" s="4"/>
      <c r="BQ161" s="4"/>
      <c r="BR161" s="4"/>
      <c r="BS161" s="4"/>
      <c r="BT161" s="22"/>
      <c r="BU161" s="24"/>
    </row>
    <row r="162" spans="1:73" ht="73.5" customHeight="1" outlineLevel="2">
      <c r="A162" s="46" t="s">
        <v>13</v>
      </c>
      <c r="B162" s="45" t="s">
        <v>225</v>
      </c>
      <c r="C162" s="2">
        <f t="shared" si="17"/>
        <v>597.26066</v>
      </c>
      <c r="D162" s="1">
        <f t="shared" si="15"/>
        <v>185.45557</v>
      </c>
      <c r="E162" s="1">
        <f t="shared" si="16"/>
        <v>411.80509</v>
      </c>
      <c r="F162" s="22"/>
      <c r="G162" s="22"/>
      <c r="H162" s="22"/>
      <c r="I162" s="22"/>
      <c r="J162" s="22"/>
      <c r="K162" s="22"/>
      <c r="L162" s="22"/>
      <c r="M162" s="2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22"/>
      <c r="AA162" s="4"/>
      <c r="AB162" s="23">
        <v>4.32409</v>
      </c>
      <c r="AC162" s="4">
        <v>1.09553</v>
      </c>
      <c r="AD162" s="22"/>
      <c r="AE162" s="22"/>
      <c r="AF162" s="22"/>
      <c r="AG162" s="22"/>
      <c r="AH162" s="20"/>
      <c r="AI162" s="4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4"/>
      <c r="BA162" s="4"/>
      <c r="BB162" s="4"/>
      <c r="BC162" s="22"/>
      <c r="BD162" s="22"/>
      <c r="BE162" s="22"/>
      <c r="BF162" s="22">
        <v>119.03148</v>
      </c>
      <c r="BG162" s="22">
        <v>7.62137</v>
      </c>
      <c r="BH162" s="22">
        <v>62.1</v>
      </c>
      <c r="BI162" s="22">
        <v>67.44556</v>
      </c>
      <c r="BJ162" s="22">
        <v>335.64263</v>
      </c>
      <c r="BK162" s="22"/>
      <c r="BL162" s="22"/>
      <c r="BM162" s="22"/>
      <c r="BN162" s="22"/>
      <c r="BO162" s="4"/>
      <c r="BP162" s="4"/>
      <c r="BQ162" s="4"/>
      <c r="BR162" s="4"/>
      <c r="BS162" s="4"/>
      <c r="BT162" s="22"/>
      <c r="BU162" s="24"/>
    </row>
    <row r="163" spans="1:73" ht="73.5" customHeight="1" outlineLevel="2">
      <c r="A163" s="46" t="s">
        <v>13</v>
      </c>
      <c r="B163" s="45" t="s">
        <v>224</v>
      </c>
      <c r="C163" s="2">
        <f t="shared" si="17"/>
        <v>1188.45051</v>
      </c>
      <c r="D163" s="1">
        <f t="shared" si="15"/>
        <v>52.289469999999994</v>
      </c>
      <c r="E163" s="1">
        <f t="shared" si="16"/>
        <v>1136.16104</v>
      </c>
      <c r="F163" s="22"/>
      <c r="G163" s="22"/>
      <c r="H163" s="22"/>
      <c r="I163" s="22"/>
      <c r="J163" s="22"/>
      <c r="K163" s="22"/>
      <c r="L163" s="22"/>
      <c r="M163" s="22">
        <v>1108.23014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22"/>
      <c r="AA163" s="4"/>
      <c r="AB163" s="4">
        <v>24.75502</v>
      </c>
      <c r="AC163" s="4">
        <v>10.76882</v>
      </c>
      <c r="AD163" s="22"/>
      <c r="AE163" s="22"/>
      <c r="AF163" s="22"/>
      <c r="AG163" s="22"/>
      <c r="AH163" s="20"/>
      <c r="AI163" s="4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4"/>
      <c r="BA163" s="4"/>
      <c r="BB163" s="4"/>
      <c r="BC163" s="22"/>
      <c r="BD163" s="22"/>
      <c r="BE163" s="22"/>
      <c r="BF163" s="22">
        <v>27.53445</v>
      </c>
      <c r="BG163" s="22">
        <v>17.16208</v>
      </c>
      <c r="BH163" s="22"/>
      <c r="BI163" s="22"/>
      <c r="BJ163" s="22"/>
      <c r="BK163" s="22"/>
      <c r="BL163" s="22"/>
      <c r="BM163" s="22"/>
      <c r="BN163" s="22"/>
      <c r="BO163" s="4"/>
      <c r="BP163" s="4"/>
      <c r="BQ163" s="4"/>
      <c r="BR163" s="4"/>
      <c r="BS163" s="4"/>
      <c r="BT163" s="22"/>
      <c r="BU163" s="24"/>
    </row>
    <row r="164" spans="1:73" ht="73.5" customHeight="1" outlineLevel="2">
      <c r="A164" s="46" t="s">
        <v>13</v>
      </c>
      <c r="B164" s="45" t="s">
        <v>167</v>
      </c>
      <c r="C164" s="2">
        <f t="shared" si="17"/>
        <v>732.88183</v>
      </c>
      <c r="D164" s="1">
        <f t="shared" si="15"/>
        <v>708.4625</v>
      </c>
      <c r="E164" s="1">
        <f t="shared" si="16"/>
        <v>24.419330000000002</v>
      </c>
      <c r="F164" s="22"/>
      <c r="G164" s="22"/>
      <c r="H164" s="22"/>
      <c r="I164" s="22"/>
      <c r="J164" s="22"/>
      <c r="K164" s="22"/>
      <c r="L164" s="22"/>
      <c r="M164" s="22"/>
      <c r="N164" s="4">
        <v>708.4625</v>
      </c>
      <c r="O164" s="4">
        <f>15.16275+9.25658</f>
        <v>24.419330000000002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22"/>
      <c r="AA164" s="4"/>
      <c r="AB164" s="4"/>
      <c r="AC164" s="4"/>
      <c r="AD164" s="22"/>
      <c r="AE164" s="22"/>
      <c r="AF164" s="22"/>
      <c r="AG164" s="22"/>
      <c r="AH164" s="20"/>
      <c r="AI164" s="4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4"/>
      <c r="BA164" s="4"/>
      <c r="BB164" s="4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4"/>
      <c r="BP164" s="4"/>
      <c r="BQ164" s="4"/>
      <c r="BR164" s="4"/>
      <c r="BS164" s="4"/>
      <c r="BT164" s="22"/>
      <c r="BU164" s="24"/>
    </row>
    <row r="165" spans="1:73" ht="73.5" customHeight="1" outlineLevel="2">
      <c r="A165" s="46" t="s">
        <v>13</v>
      </c>
      <c r="B165" s="45" t="s">
        <v>113</v>
      </c>
      <c r="C165" s="2">
        <f t="shared" si="17"/>
        <v>21351.105</v>
      </c>
      <c r="D165" s="1">
        <f t="shared" si="15"/>
        <v>13360.5822</v>
      </c>
      <c r="E165" s="1">
        <f t="shared" si="16"/>
        <v>7990.5228</v>
      </c>
      <c r="F165" s="22"/>
      <c r="G165" s="22"/>
      <c r="H165" s="22"/>
      <c r="I165" s="22"/>
      <c r="J165" s="22"/>
      <c r="K165" s="22"/>
      <c r="L165" s="22"/>
      <c r="M165" s="2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22"/>
      <c r="AA165" s="4"/>
      <c r="AB165" s="4"/>
      <c r="AC165" s="4"/>
      <c r="AD165" s="22"/>
      <c r="AE165" s="22"/>
      <c r="AF165" s="22"/>
      <c r="AG165" s="22"/>
      <c r="AH165" s="20"/>
      <c r="AI165" s="4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4"/>
      <c r="BA165" s="4"/>
      <c r="BB165" s="4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4"/>
      <c r="BP165" s="4"/>
      <c r="BQ165" s="4">
        <v>13360.5822</v>
      </c>
      <c r="BR165" s="4">
        <v>7990.5228</v>
      </c>
      <c r="BS165" s="4"/>
      <c r="BT165" s="22"/>
      <c r="BU165" s="24"/>
    </row>
    <row r="166" spans="1:73" ht="73.5" customHeight="1" outlineLevel="2">
      <c r="A166" s="46" t="s">
        <v>13</v>
      </c>
      <c r="B166" s="45" t="s">
        <v>498</v>
      </c>
      <c r="C166" s="2">
        <f t="shared" si="17"/>
        <v>2129.02067</v>
      </c>
      <c r="D166" s="1">
        <f t="shared" si="15"/>
        <v>0</v>
      </c>
      <c r="E166" s="1">
        <f t="shared" si="16"/>
        <v>2129.02067</v>
      </c>
      <c r="F166" s="22"/>
      <c r="G166" s="22"/>
      <c r="H166" s="22"/>
      <c r="I166" s="22"/>
      <c r="J166" s="22"/>
      <c r="K166" s="22"/>
      <c r="L166" s="22"/>
      <c r="M166" s="2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22"/>
      <c r="AA166" s="4"/>
      <c r="AB166" s="23"/>
      <c r="AC166" s="4"/>
      <c r="AD166" s="22"/>
      <c r="AE166" s="22"/>
      <c r="AF166" s="22"/>
      <c r="AG166" s="22"/>
      <c r="AH166" s="20"/>
      <c r="AI166" s="4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4"/>
      <c r="BA166" s="4"/>
      <c r="BB166" s="4"/>
      <c r="BC166" s="22"/>
      <c r="BD166" s="22">
        <v>128.80056</v>
      </c>
      <c r="BE166" s="22">
        <v>758.61211</v>
      </c>
      <c r="BF166" s="22"/>
      <c r="BG166" s="22"/>
      <c r="BH166" s="22"/>
      <c r="BI166" s="22"/>
      <c r="BJ166" s="22">
        <v>114.45</v>
      </c>
      <c r="BK166" s="22"/>
      <c r="BL166" s="22"/>
      <c r="BM166" s="22">
        <v>1127.158</v>
      </c>
      <c r="BN166" s="22"/>
      <c r="BO166" s="4"/>
      <c r="BP166" s="4"/>
      <c r="BQ166" s="4"/>
      <c r="BR166" s="4"/>
      <c r="BS166" s="4"/>
      <c r="BT166" s="22"/>
      <c r="BU166" s="24"/>
    </row>
    <row r="167" spans="1:73" ht="73.5" customHeight="1" outlineLevel="2" thickBot="1">
      <c r="A167" s="46" t="s">
        <v>13</v>
      </c>
      <c r="B167" s="45" t="s">
        <v>651</v>
      </c>
      <c r="C167" s="2">
        <f t="shared" si="17"/>
        <v>86.85722</v>
      </c>
      <c r="D167" s="1">
        <f t="shared" si="15"/>
        <v>0</v>
      </c>
      <c r="E167" s="1">
        <f t="shared" si="16"/>
        <v>86.85722</v>
      </c>
      <c r="F167" s="22"/>
      <c r="G167" s="22"/>
      <c r="H167" s="22"/>
      <c r="I167" s="22"/>
      <c r="J167" s="22"/>
      <c r="K167" s="22"/>
      <c r="L167" s="22"/>
      <c r="M167" s="2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22"/>
      <c r="AA167" s="22"/>
      <c r="AB167" s="23"/>
      <c r="AC167" s="4"/>
      <c r="AD167" s="22"/>
      <c r="AE167" s="22"/>
      <c r="AF167" s="22"/>
      <c r="AG167" s="22"/>
      <c r="AH167" s="20">
        <f>30.64522+56.212</f>
        <v>86.85722</v>
      </c>
      <c r="AI167" s="4">
        <v>56.212</v>
      </c>
      <c r="AJ167" s="22">
        <v>30.64522</v>
      </c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4"/>
      <c r="BA167" s="4"/>
      <c r="BB167" s="4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4"/>
      <c r="BP167" s="4"/>
      <c r="BQ167" s="4"/>
      <c r="BR167" s="4"/>
      <c r="BS167" s="4"/>
      <c r="BT167" s="22"/>
      <c r="BU167" s="24"/>
    </row>
    <row r="168" spans="1:74" s="35" customFormat="1" ht="73.5" customHeight="1" outlineLevel="1" thickBot="1">
      <c r="A168" s="29" t="s">
        <v>156</v>
      </c>
      <c r="B168" s="48"/>
      <c r="C168" s="49">
        <f aca="true" t="shared" si="18" ref="C168:BF168">SUBTOTAL(9,C125:C167)</f>
        <v>94216.40586</v>
      </c>
      <c r="D168" s="49">
        <f t="shared" si="18"/>
        <v>28162.17679</v>
      </c>
      <c r="E168" s="49">
        <f t="shared" si="18"/>
        <v>66054.22907</v>
      </c>
      <c r="F168" s="49">
        <f t="shared" si="18"/>
        <v>0</v>
      </c>
      <c r="G168" s="49">
        <f t="shared" si="18"/>
        <v>0</v>
      </c>
      <c r="H168" s="49">
        <f t="shared" si="18"/>
        <v>0</v>
      </c>
      <c r="I168" s="49">
        <f t="shared" si="18"/>
        <v>0</v>
      </c>
      <c r="J168" s="49">
        <f t="shared" si="18"/>
        <v>205.88418000000001</v>
      </c>
      <c r="K168" s="49">
        <f t="shared" si="18"/>
        <v>39.79094</v>
      </c>
      <c r="L168" s="49">
        <f t="shared" si="18"/>
        <v>0</v>
      </c>
      <c r="M168" s="49">
        <f t="shared" si="18"/>
        <v>16557.37082</v>
      </c>
      <c r="N168" s="49">
        <f t="shared" si="18"/>
        <v>744.0292999999999</v>
      </c>
      <c r="O168" s="49">
        <f t="shared" si="18"/>
        <v>26.11652</v>
      </c>
      <c r="P168" s="49">
        <f t="shared" si="18"/>
        <v>6550.85645</v>
      </c>
      <c r="Q168" s="49">
        <f t="shared" si="18"/>
        <v>0</v>
      </c>
      <c r="R168" s="49">
        <f t="shared" si="18"/>
        <v>576.69282</v>
      </c>
      <c r="S168" s="49">
        <f t="shared" si="18"/>
        <v>334.17146</v>
      </c>
      <c r="T168" s="49">
        <f t="shared" si="18"/>
        <v>2480.98506</v>
      </c>
      <c r="U168" s="49">
        <f t="shared" si="18"/>
        <v>3898.34338</v>
      </c>
      <c r="V168" s="49">
        <f t="shared" si="18"/>
        <v>0</v>
      </c>
      <c r="W168" s="49">
        <f t="shared" si="18"/>
        <v>0</v>
      </c>
      <c r="X168" s="49">
        <f t="shared" si="18"/>
        <v>0</v>
      </c>
      <c r="Y168" s="49">
        <f t="shared" si="18"/>
        <v>0</v>
      </c>
      <c r="Z168" s="49">
        <f t="shared" si="18"/>
        <v>317.24146</v>
      </c>
      <c r="AA168" s="49">
        <f t="shared" si="18"/>
        <v>1220.3217599999998</v>
      </c>
      <c r="AB168" s="49">
        <f t="shared" si="18"/>
        <v>2043.54359</v>
      </c>
      <c r="AC168" s="49">
        <f t="shared" si="18"/>
        <v>584.0685800000001</v>
      </c>
      <c r="AD168" s="49">
        <f t="shared" si="18"/>
        <v>0</v>
      </c>
      <c r="AE168" s="49">
        <f t="shared" si="18"/>
        <v>0</v>
      </c>
      <c r="AF168" s="49">
        <f t="shared" si="18"/>
        <v>0</v>
      </c>
      <c r="AG168" s="49">
        <f t="shared" si="18"/>
        <v>0</v>
      </c>
      <c r="AH168" s="49">
        <f t="shared" si="18"/>
        <v>618.12681</v>
      </c>
      <c r="AI168" s="49">
        <f t="shared" si="18"/>
        <v>308.4615</v>
      </c>
      <c r="AJ168" s="49">
        <f t="shared" si="18"/>
        <v>309.66531</v>
      </c>
      <c r="AK168" s="49">
        <f t="shared" si="18"/>
        <v>0</v>
      </c>
      <c r="AL168" s="49">
        <f t="shared" si="18"/>
        <v>0</v>
      </c>
      <c r="AM168" s="49">
        <f t="shared" si="18"/>
        <v>0</v>
      </c>
      <c r="AN168" s="49">
        <f t="shared" si="18"/>
        <v>0</v>
      </c>
      <c r="AO168" s="49">
        <f t="shared" si="18"/>
        <v>0</v>
      </c>
      <c r="AP168" s="49">
        <f t="shared" si="18"/>
        <v>0</v>
      </c>
      <c r="AQ168" s="49">
        <f t="shared" si="18"/>
        <v>0</v>
      </c>
      <c r="AR168" s="49">
        <f t="shared" si="18"/>
        <v>0</v>
      </c>
      <c r="AS168" s="49">
        <f t="shared" si="18"/>
        <v>0</v>
      </c>
      <c r="AT168" s="49">
        <f t="shared" si="18"/>
        <v>0</v>
      </c>
      <c r="AU168" s="49">
        <f t="shared" si="18"/>
        <v>0</v>
      </c>
      <c r="AV168" s="49">
        <f t="shared" si="18"/>
        <v>0</v>
      </c>
      <c r="AW168" s="49">
        <f t="shared" si="18"/>
        <v>203.0981</v>
      </c>
      <c r="AX168" s="49">
        <f t="shared" si="18"/>
        <v>366.08</v>
      </c>
      <c r="AY168" s="49">
        <f t="shared" si="18"/>
        <v>1332.3102800000001</v>
      </c>
      <c r="AZ168" s="49">
        <f t="shared" si="18"/>
        <v>746.68908</v>
      </c>
      <c r="BA168" s="49">
        <f t="shared" si="18"/>
        <v>0</v>
      </c>
      <c r="BB168" s="49">
        <f t="shared" si="18"/>
        <v>0</v>
      </c>
      <c r="BC168" s="49">
        <f t="shared" si="18"/>
        <v>0</v>
      </c>
      <c r="BD168" s="49">
        <f t="shared" si="18"/>
        <v>12093.42409</v>
      </c>
      <c r="BE168" s="49">
        <f t="shared" si="18"/>
        <v>1752.0659</v>
      </c>
      <c r="BF168" s="49">
        <f t="shared" si="18"/>
        <v>4923.2078999999985</v>
      </c>
      <c r="BG168" s="49">
        <f>SUBTOTAL(9,BG126:BG167)</f>
        <v>1781.43903</v>
      </c>
      <c r="BH168" s="49">
        <f aca="true" t="shared" si="19" ref="BH168:BT168">SUBTOTAL(9,BH125:BH167)</f>
        <v>677.6999999999999</v>
      </c>
      <c r="BI168" s="49">
        <f t="shared" si="19"/>
        <v>1431.9005599999996</v>
      </c>
      <c r="BJ168" s="49">
        <f t="shared" si="19"/>
        <v>2575.8267899999996</v>
      </c>
      <c r="BK168" s="49">
        <f t="shared" si="19"/>
        <v>0</v>
      </c>
      <c r="BL168" s="49">
        <f t="shared" si="19"/>
        <v>0</v>
      </c>
      <c r="BM168" s="49">
        <f t="shared" si="19"/>
        <v>1127.158</v>
      </c>
      <c r="BN168" s="49">
        <f t="shared" si="19"/>
        <v>0</v>
      </c>
      <c r="BO168" s="49">
        <f t="shared" si="19"/>
        <v>1500</v>
      </c>
      <c r="BP168" s="49">
        <f t="shared" si="19"/>
        <v>1500</v>
      </c>
      <c r="BQ168" s="49">
        <f t="shared" si="19"/>
        <v>13360.5822</v>
      </c>
      <c r="BR168" s="49">
        <f t="shared" si="19"/>
        <v>7990.5228</v>
      </c>
      <c r="BS168" s="2">
        <f t="shared" si="19"/>
        <v>0</v>
      </c>
      <c r="BT168" s="2">
        <f t="shared" si="19"/>
        <v>4656.858</v>
      </c>
      <c r="BU168" s="50"/>
      <c r="BV168" s="34"/>
    </row>
    <row r="169" spans="1:73" ht="73.5" customHeight="1" outlineLevel="2">
      <c r="A169" s="36" t="s">
        <v>247</v>
      </c>
      <c r="B169" s="37" t="s">
        <v>878</v>
      </c>
      <c r="C169" s="39">
        <f>D169+E169</f>
        <v>375.09363</v>
      </c>
      <c r="D169" s="1">
        <f aca="true" t="shared" si="20" ref="D169:D181">F169+J169+N169+R169+T169+Z169+AB169+AD169+AF169+AM169+AO169+AT169+AY169+BF169+BO169+BS169+H169+V169+X169+BQ169+AR169+BH169</f>
        <v>0</v>
      </c>
      <c r="E169" s="1">
        <f aca="true" t="shared" si="21" ref="E169:E181">G169+I169+K169+L169+M169+O169+P169+Q169+S169+U169+W169+Y169+AA169+AC169+AE169+AG169+AH169+AK169+AL169+AN169+AP169+AQ169+AS169+AU169+AV169+AW169+AX169+AZ169+BA169+BB169+BC169+BD169+BE169+BG169+BI169+BJ169+BK169+BL169+BM169+BN169+BU169+BP169+BR169+BT169</f>
        <v>375.09363</v>
      </c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3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0"/>
      <c r="AX169" s="41">
        <v>133.12</v>
      </c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0">
        <v>241.97363</v>
      </c>
      <c r="BK169" s="40"/>
      <c r="BL169" s="40"/>
      <c r="BM169" s="40"/>
      <c r="BN169" s="40"/>
      <c r="BO169" s="41"/>
      <c r="BP169" s="41"/>
      <c r="BQ169" s="41"/>
      <c r="BR169" s="41"/>
      <c r="BS169" s="4"/>
      <c r="BT169" s="22"/>
      <c r="BU169" s="24"/>
    </row>
    <row r="170" spans="1:73" ht="73.5" customHeight="1" outlineLevel="2">
      <c r="A170" s="46" t="s">
        <v>247</v>
      </c>
      <c r="B170" s="45" t="s">
        <v>879</v>
      </c>
      <c r="C170" s="39">
        <f aca="true" t="shared" si="22" ref="C170:C181">D170+E170</f>
        <v>158.08</v>
      </c>
      <c r="D170" s="1">
        <f t="shared" si="20"/>
        <v>0</v>
      </c>
      <c r="E170" s="1">
        <f t="shared" si="21"/>
        <v>158.08</v>
      </c>
      <c r="F170" s="22"/>
      <c r="G170" s="22"/>
      <c r="H170" s="22"/>
      <c r="I170" s="22"/>
      <c r="J170" s="22"/>
      <c r="K170" s="22"/>
      <c r="L170" s="22"/>
      <c r="M170" s="2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22"/>
      <c r="AA170" s="22"/>
      <c r="AB170" s="4"/>
      <c r="AC170" s="4"/>
      <c r="AD170" s="22"/>
      <c r="AE170" s="22"/>
      <c r="AF170" s="22"/>
      <c r="AG170" s="22"/>
      <c r="AH170" s="20"/>
      <c r="AI170" s="4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>
        <v>158.08</v>
      </c>
      <c r="AY170" s="22"/>
      <c r="AZ170" s="4"/>
      <c r="BA170" s="4"/>
      <c r="BB170" s="4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4"/>
      <c r="BP170" s="4"/>
      <c r="BQ170" s="4"/>
      <c r="BR170" s="4"/>
      <c r="BS170" s="4"/>
      <c r="BT170" s="22"/>
      <c r="BU170" s="24"/>
    </row>
    <row r="171" spans="1:73" ht="73.5" customHeight="1" outlineLevel="2">
      <c r="A171" s="46" t="s">
        <v>247</v>
      </c>
      <c r="B171" s="45" t="s">
        <v>880</v>
      </c>
      <c r="C171" s="39">
        <f t="shared" si="22"/>
        <v>221.33733</v>
      </c>
      <c r="D171" s="1">
        <f t="shared" si="20"/>
        <v>0</v>
      </c>
      <c r="E171" s="1">
        <f t="shared" si="21"/>
        <v>221.33733</v>
      </c>
      <c r="F171" s="22"/>
      <c r="G171" s="22"/>
      <c r="H171" s="22"/>
      <c r="I171" s="22"/>
      <c r="J171" s="22"/>
      <c r="K171" s="22"/>
      <c r="L171" s="22"/>
      <c r="M171" s="2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22"/>
      <c r="AA171" s="22"/>
      <c r="AB171" s="4"/>
      <c r="AC171" s="4"/>
      <c r="AD171" s="22"/>
      <c r="AE171" s="22"/>
      <c r="AF171" s="22"/>
      <c r="AG171" s="22"/>
      <c r="AH171" s="20"/>
      <c r="AI171" s="4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4"/>
      <c r="BA171" s="4"/>
      <c r="BB171" s="4"/>
      <c r="BC171" s="22"/>
      <c r="BD171" s="22"/>
      <c r="BE171" s="22"/>
      <c r="BF171" s="22"/>
      <c r="BG171" s="22"/>
      <c r="BH171" s="22"/>
      <c r="BI171" s="22"/>
      <c r="BJ171" s="22">
        <v>221.33733</v>
      </c>
      <c r="BK171" s="22"/>
      <c r="BL171" s="22"/>
      <c r="BM171" s="22"/>
      <c r="BN171" s="22"/>
      <c r="BO171" s="4"/>
      <c r="BP171" s="4"/>
      <c r="BQ171" s="4"/>
      <c r="BR171" s="4"/>
      <c r="BS171" s="4"/>
      <c r="BT171" s="22"/>
      <c r="BU171" s="24"/>
    </row>
    <row r="172" spans="1:73" ht="73.5" customHeight="1" outlineLevel="2">
      <c r="A172" s="46" t="s">
        <v>247</v>
      </c>
      <c r="B172" s="45" t="s">
        <v>881</v>
      </c>
      <c r="C172" s="39">
        <f t="shared" si="22"/>
        <v>3008.32</v>
      </c>
      <c r="D172" s="1">
        <f t="shared" si="20"/>
        <v>0</v>
      </c>
      <c r="E172" s="1">
        <f t="shared" si="21"/>
        <v>3008.32</v>
      </c>
      <c r="F172" s="22"/>
      <c r="G172" s="22"/>
      <c r="H172" s="22"/>
      <c r="I172" s="22"/>
      <c r="J172" s="22"/>
      <c r="K172" s="22"/>
      <c r="L172" s="22"/>
      <c r="M172" s="2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22"/>
      <c r="AA172" s="22"/>
      <c r="AB172" s="4"/>
      <c r="AC172" s="4"/>
      <c r="AD172" s="22"/>
      <c r="AE172" s="22"/>
      <c r="AF172" s="22"/>
      <c r="AG172" s="22"/>
      <c r="AH172" s="20"/>
      <c r="AI172" s="4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>
        <v>8.32</v>
      </c>
      <c r="AY172" s="22"/>
      <c r="AZ172" s="4"/>
      <c r="BA172" s="4"/>
      <c r="BB172" s="4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4"/>
      <c r="BP172" s="4">
        <v>3000</v>
      </c>
      <c r="BQ172" s="4"/>
      <c r="BR172" s="4"/>
      <c r="BS172" s="4"/>
      <c r="BT172" s="22"/>
      <c r="BU172" s="24"/>
    </row>
    <row r="173" spans="1:73" ht="73.5" customHeight="1" outlineLevel="2">
      <c r="A173" s="46" t="s">
        <v>247</v>
      </c>
      <c r="B173" s="45" t="s">
        <v>128</v>
      </c>
      <c r="C173" s="39">
        <f t="shared" si="22"/>
        <v>425.01363000000003</v>
      </c>
      <c r="D173" s="1">
        <f t="shared" si="20"/>
        <v>0</v>
      </c>
      <c r="E173" s="1">
        <f t="shared" si="21"/>
        <v>425.01363000000003</v>
      </c>
      <c r="F173" s="22"/>
      <c r="G173" s="22"/>
      <c r="H173" s="22"/>
      <c r="I173" s="22"/>
      <c r="J173" s="22"/>
      <c r="K173" s="22"/>
      <c r="L173" s="22"/>
      <c r="M173" s="2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22"/>
      <c r="AA173" s="22"/>
      <c r="AB173" s="4"/>
      <c r="AC173" s="4"/>
      <c r="AD173" s="22"/>
      <c r="AE173" s="22"/>
      <c r="AF173" s="22"/>
      <c r="AG173" s="22"/>
      <c r="AH173" s="20"/>
      <c r="AI173" s="4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>
        <v>183.04</v>
      </c>
      <c r="AY173" s="22"/>
      <c r="AZ173" s="4"/>
      <c r="BA173" s="4"/>
      <c r="BB173" s="4"/>
      <c r="BC173" s="22"/>
      <c r="BD173" s="22"/>
      <c r="BE173" s="22"/>
      <c r="BF173" s="22"/>
      <c r="BG173" s="22"/>
      <c r="BH173" s="22"/>
      <c r="BI173" s="22"/>
      <c r="BJ173" s="22">
        <v>241.97363</v>
      </c>
      <c r="BK173" s="22"/>
      <c r="BL173" s="22"/>
      <c r="BM173" s="22"/>
      <c r="BN173" s="22"/>
      <c r="BO173" s="4"/>
      <c r="BP173" s="4"/>
      <c r="BQ173" s="4"/>
      <c r="BR173" s="4"/>
      <c r="BS173" s="4"/>
      <c r="BT173" s="22"/>
      <c r="BU173" s="24"/>
    </row>
    <row r="174" spans="1:73" ht="73.5" customHeight="1" outlineLevel="2">
      <c r="A174" s="46" t="s">
        <v>247</v>
      </c>
      <c r="B174" s="45" t="s">
        <v>838</v>
      </c>
      <c r="C174" s="39">
        <f>D174+E174</f>
        <v>44.1</v>
      </c>
      <c r="D174" s="1">
        <f t="shared" si="20"/>
        <v>0</v>
      </c>
      <c r="E174" s="1">
        <f t="shared" si="21"/>
        <v>44.1</v>
      </c>
      <c r="F174" s="22"/>
      <c r="G174" s="22"/>
      <c r="H174" s="22"/>
      <c r="I174" s="22"/>
      <c r="J174" s="22"/>
      <c r="K174" s="22"/>
      <c r="L174" s="22"/>
      <c r="M174" s="2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22"/>
      <c r="AA174" s="22"/>
      <c r="AB174" s="4"/>
      <c r="AC174" s="4"/>
      <c r="AD174" s="22"/>
      <c r="AE174" s="22"/>
      <c r="AF174" s="22"/>
      <c r="AG174" s="22"/>
      <c r="AH174" s="20"/>
      <c r="AI174" s="4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>
        <v>44.1</v>
      </c>
      <c r="AX174" s="22"/>
      <c r="AY174" s="22"/>
      <c r="AZ174" s="4"/>
      <c r="BA174" s="4"/>
      <c r="BB174" s="4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4"/>
      <c r="BP174" s="4"/>
      <c r="BQ174" s="4"/>
      <c r="BR174" s="4"/>
      <c r="BS174" s="4"/>
      <c r="BT174" s="22"/>
      <c r="BU174" s="24"/>
    </row>
    <row r="175" spans="1:73" ht="73.5" customHeight="1" outlineLevel="2">
      <c r="A175" s="46" t="s">
        <v>247</v>
      </c>
      <c r="B175" s="45" t="s">
        <v>882</v>
      </c>
      <c r="C175" s="39">
        <f t="shared" si="22"/>
        <v>222.55974</v>
      </c>
      <c r="D175" s="1">
        <f t="shared" si="20"/>
        <v>0</v>
      </c>
      <c r="E175" s="1">
        <f t="shared" si="21"/>
        <v>222.55974</v>
      </c>
      <c r="F175" s="22"/>
      <c r="G175" s="22"/>
      <c r="H175" s="22"/>
      <c r="I175" s="22"/>
      <c r="J175" s="22"/>
      <c r="K175" s="22"/>
      <c r="L175" s="22"/>
      <c r="M175" s="2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22"/>
      <c r="AA175" s="22"/>
      <c r="AB175" s="4"/>
      <c r="AC175" s="4"/>
      <c r="AD175" s="22"/>
      <c r="AE175" s="22"/>
      <c r="AF175" s="22"/>
      <c r="AG175" s="22"/>
      <c r="AH175" s="20"/>
      <c r="AI175" s="4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4"/>
      <c r="BA175" s="4"/>
      <c r="BB175" s="4"/>
      <c r="BC175" s="22"/>
      <c r="BD175" s="22"/>
      <c r="BE175" s="22"/>
      <c r="BF175" s="22"/>
      <c r="BG175" s="22"/>
      <c r="BH175" s="22"/>
      <c r="BI175" s="22"/>
      <c r="BJ175" s="22">
        <v>222.55974</v>
      </c>
      <c r="BK175" s="22"/>
      <c r="BL175" s="22"/>
      <c r="BM175" s="22"/>
      <c r="BN175" s="22"/>
      <c r="BO175" s="4"/>
      <c r="BP175" s="4"/>
      <c r="BQ175" s="4"/>
      <c r="BR175" s="4"/>
      <c r="BS175" s="4"/>
      <c r="BT175" s="22"/>
      <c r="BU175" s="24"/>
    </row>
    <row r="176" spans="1:73" ht="73.5" customHeight="1" outlineLevel="2">
      <c r="A176" s="46" t="s">
        <v>247</v>
      </c>
      <c r="B176" s="45" t="s">
        <v>883</v>
      </c>
      <c r="C176" s="39">
        <f t="shared" si="22"/>
        <v>183.04</v>
      </c>
      <c r="D176" s="1">
        <f t="shared" si="20"/>
        <v>0</v>
      </c>
      <c r="E176" s="1">
        <f t="shared" si="21"/>
        <v>183.04</v>
      </c>
      <c r="F176" s="22"/>
      <c r="G176" s="22"/>
      <c r="H176" s="22"/>
      <c r="I176" s="22"/>
      <c r="J176" s="22"/>
      <c r="K176" s="22"/>
      <c r="L176" s="22"/>
      <c r="M176" s="2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22"/>
      <c r="AA176" s="22"/>
      <c r="AB176" s="4"/>
      <c r="AC176" s="4"/>
      <c r="AD176" s="22"/>
      <c r="AE176" s="22"/>
      <c r="AF176" s="22"/>
      <c r="AG176" s="22"/>
      <c r="AH176" s="20"/>
      <c r="AI176" s="4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>
        <v>183.04</v>
      </c>
      <c r="AY176" s="22"/>
      <c r="AZ176" s="4"/>
      <c r="BA176" s="4"/>
      <c r="BB176" s="4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4"/>
      <c r="BP176" s="4"/>
      <c r="BQ176" s="4"/>
      <c r="BR176" s="4"/>
      <c r="BS176" s="4"/>
      <c r="BT176" s="22"/>
      <c r="BU176" s="24"/>
    </row>
    <row r="177" spans="1:73" ht="73.5" customHeight="1" outlineLevel="2">
      <c r="A177" s="46" t="s">
        <v>247</v>
      </c>
      <c r="B177" s="45" t="s">
        <v>884</v>
      </c>
      <c r="C177" s="39">
        <f t="shared" si="22"/>
        <v>167.52613</v>
      </c>
      <c r="D177" s="1">
        <f t="shared" si="20"/>
        <v>0</v>
      </c>
      <c r="E177" s="1">
        <f t="shared" si="21"/>
        <v>167.52613</v>
      </c>
      <c r="F177" s="22"/>
      <c r="G177" s="22"/>
      <c r="H177" s="22"/>
      <c r="I177" s="22"/>
      <c r="J177" s="22"/>
      <c r="K177" s="22"/>
      <c r="L177" s="22"/>
      <c r="M177" s="2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22"/>
      <c r="AA177" s="22"/>
      <c r="AB177" s="4"/>
      <c r="AC177" s="4"/>
      <c r="AD177" s="22"/>
      <c r="AE177" s="22"/>
      <c r="AF177" s="22"/>
      <c r="AG177" s="22"/>
      <c r="AH177" s="20"/>
      <c r="AI177" s="4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>
        <v>74.88</v>
      </c>
      <c r="AY177" s="22"/>
      <c r="AZ177" s="4"/>
      <c r="BA177" s="4"/>
      <c r="BB177" s="4"/>
      <c r="BC177" s="22"/>
      <c r="BD177" s="22"/>
      <c r="BE177" s="22"/>
      <c r="BF177" s="22"/>
      <c r="BG177" s="22"/>
      <c r="BH177" s="22"/>
      <c r="BI177" s="22"/>
      <c r="BJ177" s="22">
        <v>92.64613</v>
      </c>
      <c r="BK177" s="22"/>
      <c r="BL177" s="22"/>
      <c r="BM177" s="22"/>
      <c r="BN177" s="22"/>
      <c r="BO177" s="4"/>
      <c r="BP177" s="4"/>
      <c r="BQ177" s="4"/>
      <c r="BR177" s="4"/>
      <c r="BS177" s="4"/>
      <c r="BT177" s="22"/>
      <c r="BU177" s="24"/>
    </row>
    <row r="178" spans="1:73" ht="73.5" customHeight="1" outlineLevel="2">
      <c r="A178" s="46" t="s">
        <v>247</v>
      </c>
      <c r="B178" s="45" t="s">
        <v>885</v>
      </c>
      <c r="C178" s="39">
        <f t="shared" si="22"/>
        <v>103.565</v>
      </c>
      <c r="D178" s="1">
        <f t="shared" si="20"/>
        <v>0</v>
      </c>
      <c r="E178" s="1">
        <f t="shared" si="21"/>
        <v>103.565</v>
      </c>
      <c r="F178" s="22"/>
      <c r="G178" s="22"/>
      <c r="H178" s="22"/>
      <c r="I178" s="22"/>
      <c r="J178" s="22"/>
      <c r="K178" s="22"/>
      <c r="L178" s="22"/>
      <c r="M178" s="2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22"/>
      <c r="AA178" s="22"/>
      <c r="AB178" s="4"/>
      <c r="AC178" s="4"/>
      <c r="AD178" s="22"/>
      <c r="AE178" s="22"/>
      <c r="AF178" s="22"/>
      <c r="AG178" s="22"/>
      <c r="AH178" s="20"/>
      <c r="AI178" s="4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4"/>
      <c r="BA178" s="4"/>
      <c r="BB178" s="4"/>
      <c r="BC178" s="22"/>
      <c r="BD178" s="22"/>
      <c r="BE178" s="22"/>
      <c r="BF178" s="22"/>
      <c r="BG178" s="22"/>
      <c r="BH178" s="22"/>
      <c r="BI178" s="22"/>
      <c r="BJ178" s="22">
        <v>103.565</v>
      </c>
      <c r="BK178" s="22"/>
      <c r="BL178" s="22"/>
      <c r="BM178" s="22"/>
      <c r="BN178" s="22"/>
      <c r="BO178" s="4"/>
      <c r="BP178" s="4"/>
      <c r="BQ178" s="4"/>
      <c r="BR178" s="4"/>
      <c r="BS178" s="4"/>
      <c r="BT178" s="22"/>
      <c r="BU178" s="24"/>
    </row>
    <row r="179" spans="1:73" ht="73.5" customHeight="1" outlineLevel="2">
      <c r="A179" s="46" t="s">
        <v>247</v>
      </c>
      <c r="B179" s="45" t="s">
        <v>886</v>
      </c>
      <c r="C179" s="39">
        <f t="shared" si="22"/>
        <v>133.12</v>
      </c>
      <c r="D179" s="1">
        <f t="shared" si="20"/>
        <v>0</v>
      </c>
      <c r="E179" s="1">
        <f t="shared" si="21"/>
        <v>133.12</v>
      </c>
      <c r="F179" s="22"/>
      <c r="G179" s="22"/>
      <c r="H179" s="22"/>
      <c r="I179" s="22"/>
      <c r="J179" s="22"/>
      <c r="K179" s="22"/>
      <c r="L179" s="22"/>
      <c r="M179" s="2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22"/>
      <c r="AA179" s="22"/>
      <c r="AB179" s="4"/>
      <c r="AC179" s="4"/>
      <c r="AD179" s="22"/>
      <c r="AE179" s="22"/>
      <c r="AF179" s="22"/>
      <c r="AG179" s="22"/>
      <c r="AH179" s="20"/>
      <c r="AI179" s="4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>
        <v>133.12</v>
      </c>
      <c r="AY179" s="22"/>
      <c r="AZ179" s="4"/>
      <c r="BA179" s="4"/>
      <c r="BB179" s="4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4"/>
      <c r="BP179" s="4"/>
      <c r="BQ179" s="4"/>
      <c r="BR179" s="4"/>
      <c r="BS179" s="4"/>
      <c r="BT179" s="22"/>
      <c r="BU179" s="24"/>
    </row>
    <row r="180" spans="1:73" ht="73.5" customHeight="1" outlineLevel="2">
      <c r="A180" s="46" t="s">
        <v>247</v>
      </c>
      <c r="B180" s="45" t="s">
        <v>887</v>
      </c>
      <c r="C180" s="39">
        <f t="shared" si="22"/>
        <v>3000</v>
      </c>
      <c r="D180" s="1">
        <f t="shared" si="20"/>
        <v>1500</v>
      </c>
      <c r="E180" s="1">
        <f t="shared" si="21"/>
        <v>1500</v>
      </c>
      <c r="F180" s="22"/>
      <c r="G180" s="22"/>
      <c r="H180" s="22"/>
      <c r="I180" s="22"/>
      <c r="J180" s="22"/>
      <c r="K180" s="22"/>
      <c r="L180" s="22"/>
      <c r="M180" s="2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22"/>
      <c r="AA180" s="22"/>
      <c r="AB180" s="4"/>
      <c r="AC180" s="4"/>
      <c r="AD180" s="22"/>
      <c r="AE180" s="22"/>
      <c r="AF180" s="22"/>
      <c r="AG180" s="22"/>
      <c r="AH180" s="20"/>
      <c r="AI180" s="4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4"/>
      <c r="BA180" s="4"/>
      <c r="BB180" s="4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4">
        <v>1500</v>
      </c>
      <c r="BP180" s="4">
        <v>1500</v>
      </c>
      <c r="BQ180" s="4"/>
      <c r="BR180" s="4"/>
      <c r="BS180" s="4"/>
      <c r="BT180" s="22"/>
      <c r="BU180" s="24"/>
    </row>
    <row r="181" spans="1:73" ht="73.5" customHeight="1" outlineLevel="2" thickBot="1">
      <c r="A181" s="46" t="s">
        <v>247</v>
      </c>
      <c r="B181" s="45" t="s">
        <v>571</v>
      </c>
      <c r="C181" s="39">
        <f t="shared" si="22"/>
        <v>241.97363</v>
      </c>
      <c r="D181" s="1">
        <f t="shared" si="20"/>
        <v>0</v>
      </c>
      <c r="E181" s="1">
        <f t="shared" si="21"/>
        <v>241.97363</v>
      </c>
      <c r="F181" s="22"/>
      <c r="G181" s="22"/>
      <c r="H181" s="22"/>
      <c r="I181" s="22"/>
      <c r="J181" s="22"/>
      <c r="K181" s="22"/>
      <c r="L181" s="22"/>
      <c r="M181" s="2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22"/>
      <c r="AA181" s="22"/>
      <c r="AB181" s="4"/>
      <c r="AC181" s="4"/>
      <c r="AD181" s="22"/>
      <c r="AE181" s="22"/>
      <c r="AF181" s="22"/>
      <c r="AG181" s="22"/>
      <c r="AH181" s="20"/>
      <c r="AI181" s="4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4"/>
      <c r="BA181" s="4"/>
      <c r="BB181" s="4"/>
      <c r="BC181" s="22"/>
      <c r="BD181" s="22"/>
      <c r="BE181" s="22"/>
      <c r="BF181" s="22"/>
      <c r="BG181" s="22"/>
      <c r="BH181" s="22"/>
      <c r="BI181" s="22"/>
      <c r="BJ181" s="22">
        <v>241.97363</v>
      </c>
      <c r="BK181" s="22"/>
      <c r="BL181" s="22"/>
      <c r="BM181" s="22"/>
      <c r="BN181" s="22"/>
      <c r="BO181" s="4"/>
      <c r="BP181" s="4"/>
      <c r="BQ181" s="4"/>
      <c r="BR181" s="4"/>
      <c r="BS181" s="4"/>
      <c r="BT181" s="22"/>
      <c r="BU181" s="24"/>
    </row>
    <row r="182" spans="1:74" s="35" customFormat="1" ht="73.5" customHeight="1" outlineLevel="1" thickBot="1">
      <c r="A182" s="29" t="s">
        <v>248</v>
      </c>
      <c r="B182" s="48"/>
      <c r="C182" s="49">
        <f aca="true" t="shared" si="23" ref="C182:BN182">SUBTOTAL(9,C169:C181)</f>
        <v>8283.72909</v>
      </c>
      <c r="D182" s="49">
        <f t="shared" si="23"/>
        <v>1500</v>
      </c>
      <c r="E182" s="49">
        <f t="shared" si="23"/>
        <v>6783.729090000001</v>
      </c>
      <c r="F182" s="49">
        <f t="shared" si="23"/>
        <v>0</v>
      </c>
      <c r="G182" s="49">
        <f t="shared" si="23"/>
        <v>0</v>
      </c>
      <c r="H182" s="49">
        <f t="shared" si="23"/>
        <v>0</v>
      </c>
      <c r="I182" s="49">
        <f t="shared" si="23"/>
        <v>0</v>
      </c>
      <c r="J182" s="49">
        <f t="shared" si="23"/>
        <v>0</v>
      </c>
      <c r="K182" s="49">
        <f t="shared" si="23"/>
        <v>0</v>
      </c>
      <c r="L182" s="49">
        <f t="shared" si="23"/>
        <v>0</v>
      </c>
      <c r="M182" s="49">
        <f t="shared" si="23"/>
        <v>0</v>
      </c>
      <c r="N182" s="49">
        <f t="shared" si="23"/>
        <v>0</v>
      </c>
      <c r="O182" s="49">
        <f t="shared" si="23"/>
        <v>0</v>
      </c>
      <c r="P182" s="49">
        <f t="shared" si="23"/>
        <v>0</v>
      </c>
      <c r="Q182" s="49">
        <f t="shared" si="23"/>
        <v>0</v>
      </c>
      <c r="R182" s="49">
        <f t="shared" si="23"/>
        <v>0</v>
      </c>
      <c r="S182" s="49">
        <f t="shared" si="23"/>
        <v>0</v>
      </c>
      <c r="T182" s="49">
        <f t="shared" si="23"/>
        <v>0</v>
      </c>
      <c r="U182" s="49">
        <f t="shared" si="23"/>
        <v>0</v>
      </c>
      <c r="V182" s="49">
        <f t="shared" si="23"/>
        <v>0</v>
      </c>
      <c r="W182" s="49">
        <f t="shared" si="23"/>
        <v>0</v>
      </c>
      <c r="X182" s="49">
        <f t="shared" si="23"/>
        <v>0</v>
      </c>
      <c r="Y182" s="49">
        <f t="shared" si="23"/>
        <v>0</v>
      </c>
      <c r="Z182" s="49">
        <f t="shared" si="23"/>
        <v>0</v>
      </c>
      <c r="AA182" s="49">
        <f t="shared" si="23"/>
        <v>0</v>
      </c>
      <c r="AB182" s="49">
        <f t="shared" si="23"/>
        <v>0</v>
      </c>
      <c r="AC182" s="49">
        <f t="shared" si="23"/>
        <v>0</v>
      </c>
      <c r="AD182" s="49">
        <f t="shared" si="23"/>
        <v>0</v>
      </c>
      <c r="AE182" s="49">
        <f t="shared" si="23"/>
        <v>0</v>
      </c>
      <c r="AF182" s="49">
        <f t="shared" si="23"/>
        <v>0</v>
      </c>
      <c r="AG182" s="49">
        <f t="shared" si="23"/>
        <v>0</v>
      </c>
      <c r="AH182" s="49">
        <f t="shared" si="23"/>
        <v>0</v>
      </c>
      <c r="AI182" s="49">
        <f t="shared" si="23"/>
        <v>0</v>
      </c>
      <c r="AJ182" s="49">
        <f t="shared" si="23"/>
        <v>0</v>
      </c>
      <c r="AK182" s="49">
        <f t="shared" si="23"/>
        <v>0</v>
      </c>
      <c r="AL182" s="49">
        <f t="shared" si="23"/>
        <v>0</v>
      </c>
      <c r="AM182" s="49">
        <f t="shared" si="23"/>
        <v>0</v>
      </c>
      <c r="AN182" s="49">
        <f t="shared" si="23"/>
        <v>0</v>
      </c>
      <c r="AO182" s="49">
        <f t="shared" si="23"/>
        <v>0</v>
      </c>
      <c r="AP182" s="49">
        <f t="shared" si="23"/>
        <v>0</v>
      </c>
      <c r="AQ182" s="49">
        <f t="shared" si="23"/>
        <v>0</v>
      </c>
      <c r="AR182" s="49">
        <f t="shared" si="23"/>
        <v>0</v>
      </c>
      <c r="AS182" s="49">
        <f t="shared" si="23"/>
        <v>0</v>
      </c>
      <c r="AT182" s="49">
        <f t="shared" si="23"/>
        <v>0</v>
      </c>
      <c r="AU182" s="49">
        <f t="shared" si="23"/>
        <v>0</v>
      </c>
      <c r="AV182" s="49">
        <f t="shared" si="23"/>
        <v>0</v>
      </c>
      <c r="AW182" s="49">
        <f t="shared" si="23"/>
        <v>44.1</v>
      </c>
      <c r="AX182" s="49">
        <f t="shared" si="23"/>
        <v>873.6</v>
      </c>
      <c r="AY182" s="49">
        <f t="shared" si="23"/>
        <v>0</v>
      </c>
      <c r="AZ182" s="49">
        <f t="shared" si="23"/>
        <v>0</v>
      </c>
      <c r="BA182" s="49">
        <f t="shared" si="23"/>
        <v>0</v>
      </c>
      <c r="BB182" s="49">
        <f t="shared" si="23"/>
        <v>0</v>
      </c>
      <c r="BC182" s="49">
        <f t="shared" si="23"/>
        <v>0</v>
      </c>
      <c r="BD182" s="49">
        <f t="shared" si="23"/>
        <v>0</v>
      </c>
      <c r="BE182" s="49">
        <f t="shared" si="23"/>
        <v>0</v>
      </c>
      <c r="BF182" s="49">
        <f t="shared" si="23"/>
        <v>0</v>
      </c>
      <c r="BG182" s="49">
        <f t="shared" si="23"/>
        <v>0</v>
      </c>
      <c r="BH182" s="49">
        <f t="shared" si="23"/>
        <v>0</v>
      </c>
      <c r="BI182" s="49">
        <f t="shared" si="23"/>
        <v>0</v>
      </c>
      <c r="BJ182" s="49">
        <f t="shared" si="23"/>
        <v>1366.02909</v>
      </c>
      <c r="BK182" s="49">
        <f t="shared" si="23"/>
        <v>0</v>
      </c>
      <c r="BL182" s="49">
        <f t="shared" si="23"/>
        <v>0</v>
      </c>
      <c r="BM182" s="49">
        <f t="shared" si="23"/>
        <v>0</v>
      </c>
      <c r="BN182" s="49">
        <f t="shared" si="23"/>
        <v>0</v>
      </c>
      <c r="BO182" s="49">
        <f aca="true" t="shared" si="24" ref="BO182:BT182">SUBTOTAL(9,BO169:BO181)</f>
        <v>1500</v>
      </c>
      <c r="BP182" s="49">
        <f t="shared" si="24"/>
        <v>4500</v>
      </c>
      <c r="BQ182" s="49">
        <f t="shared" si="24"/>
        <v>0</v>
      </c>
      <c r="BR182" s="49">
        <f t="shared" si="24"/>
        <v>0</v>
      </c>
      <c r="BS182" s="2">
        <f t="shared" si="24"/>
        <v>0</v>
      </c>
      <c r="BT182" s="2">
        <f t="shared" si="24"/>
        <v>0</v>
      </c>
      <c r="BU182" s="50"/>
      <c r="BV182" s="34"/>
    </row>
    <row r="183" spans="1:73" ht="73.5" customHeight="1" outlineLevel="2">
      <c r="A183" s="51" t="s">
        <v>157</v>
      </c>
      <c r="B183" s="52" t="s">
        <v>663</v>
      </c>
      <c r="C183" s="39">
        <f>D183+E183</f>
        <v>601180.09365</v>
      </c>
      <c r="D183" s="1">
        <f aca="true" t="shared" si="25" ref="D183:D200">F183+J183+N183+R183+T183+Z183+AB183+AD183+AF183+AM183+AO183+AT183+AY183+BF183+BO183+BS183+H183+V183+X183+BQ183+AR183+BH183</f>
        <v>237585.711</v>
      </c>
      <c r="E183" s="1">
        <f aca="true" t="shared" si="26" ref="E183:E200">G183+I183+K183+L183+M183+O183+P183+Q183+S183+U183+W183+Y183+AA183+AC183+AE183+AG183+AH183+AK183+AL183+AN183+AP183+AQ183+AS183+AU183+AV183+AW183+AX183+AZ183+BA183+BB183+BC183+BD183+BE183+BG183+BI183+BJ183+BK183+BL183+BM183+BN183+BU183+BP183+BR183+BT183</f>
        <v>363594.38265000004</v>
      </c>
      <c r="F183" s="40">
        <v>235665.06992</v>
      </c>
      <c r="G183" s="41">
        <v>265134.79522</v>
      </c>
      <c r="H183" s="41"/>
      <c r="I183" s="41"/>
      <c r="J183" s="40"/>
      <c r="K183" s="40"/>
      <c r="L183" s="40"/>
      <c r="M183" s="40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0"/>
      <c r="AA183" s="41"/>
      <c r="AB183" s="42"/>
      <c r="AC183" s="41"/>
      <c r="AD183" s="40">
        <v>1920.64108</v>
      </c>
      <c r="AE183" s="40">
        <v>293.30336</v>
      </c>
      <c r="AF183" s="40"/>
      <c r="AG183" s="40"/>
      <c r="AH183" s="43"/>
      <c r="AI183" s="41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1"/>
      <c r="BA183" s="41"/>
      <c r="BB183" s="41"/>
      <c r="BC183" s="40"/>
      <c r="BD183" s="40">
        <v>98166.28407</v>
      </c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1"/>
      <c r="BP183" s="41"/>
      <c r="BQ183" s="41"/>
      <c r="BR183" s="41"/>
      <c r="BS183" s="4"/>
      <c r="BT183" s="22"/>
      <c r="BU183" s="24"/>
    </row>
    <row r="184" spans="1:73" ht="73.5" customHeight="1" outlineLevel="2">
      <c r="A184" s="25" t="s">
        <v>852</v>
      </c>
      <c r="B184" s="26" t="s">
        <v>494</v>
      </c>
      <c r="C184" s="39">
        <f aca="true" t="shared" si="27" ref="C184:C200">D184+E184</f>
        <v>8966.42359</v>
      </c>
      <c r="D184" s="1">
        <f t="shared" si="25"/>
        <v>4597.71338</v>
      </c>
      <c r="E184" s="1">
        <f t="shared" si="26"/>
        <v>4368.71021</v>
      </c>
      <c r="F184" s="22"/>
      <c r="G184" s="4"/>
      <c r="H184" s="4"/>
      <c r="I184" s="4"/>
      <c r="J184" s="22"/>
      <c r="K184" s="22"/>
      <c r="L184" s="22"/>
      <c r="M184" s="22"/>
      <c r="N184" s="4"/>
      <c r="O184" s="4"/>
      <c r="P184" s="4"/>
      <c r="Q184" s="4"/>
      <c r="R184" s="4">
        <v>684.14802</v>
      </c>
      <c r="S184" s="4">
        <v>663.38477</v>
      </c>
      <c r="T184" s="4"/>
      <c r="U184" s="4"/>
      <c r="V184" s="4"/>
      <c r="W184" s="4"/>
      <c r="X184" s="4"/>
      <c r="Y184" s="4"/>
      <c r="Z184" s="22"/>
      <c r="AA184" s="4"/>
      <c r="AB184" s="23">
        <v>1833.36663</v>
      </c>
      <c r="AC184" s="4">
        <v>582.7283</v>
      </c>
      <c r="AD184" s="22"/>
      <c r="AE184" s="22"/>
      <c r="AF184" s="22"/>
      <c r="AG184" s="22"/>
      <c r="AH184" s="20">
        <f>460.09035+460.62585</f>
        <v>920.7162000000001</v>
      </c>
      <c r="AI184" s="4">
        <v>460.62585</v>
      </c>
      <c r="AJ184" s="22">
        <v>460.09035</v>
      </c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4"/>
      <c r="BA184" s="4"/>
      <c r="BB184" s="4"/>
      <c r="BC184" s="22"/>
      <c r="BD184" s="22">
        <v>903.0147</v>
      </c>
      <c r="BE184" s="22"/>
      <c r="BF184" s="22">
        <v>2080.19873</v>
      </c>
      <c r="BG184" s="22">
        <v>1298.86624</v>
      </c>
      <c r="BH184" s="22"/>
      <c r="BI184" s="22"/>
      <c r="BJ184" s="22"/>
      <c r="BK184" s="22"/>
      <c r="BL184" s="22"/>
      <c r="BM184" s="22"/>
      <c r="BN184" s="22"/>
      <c r="BO184" s="4"/>
      <c r="BP184" s="4"/>
      <c r="BQ184" s="4"/>
      <c r="BR184" s="4"/>
      <c r="BS184" s="4"/>
      <c r="BT184" s="22"/>
      <c r="BU184" s="24"/>
    </row>
    <row r="185" spans="1:73" ht="73.5" customHeight="1" outlineLevel="2">
      <c r="A185" s="44" t="s">
        <v>157</v>
      </c>
      <c r="B185" s="45" t="s">
        <v>386</v>
      </c>
      <c r="C185" s="39">
        <f t="shared" si="27"/>
        <v>13787.248899999999</v>
      </c>
      <c r="D185" s="1">
        <f t="shared" si="25"/>
        <v>5838.38462</v>
      </c>
      <c r="E185" s="1">
        <f t="shared" si="26"/>
        <v>7948.86428</v>
      </c>
      <c r="F185" s="22"/>
      <c r="G185" s="22"/>
      <c r="H185" s="22"/>
      <c r="I185" s="22"/>
      <c r="J185" s="22"/>
      <c r="K185" s="22"/>
      <c r="L185" s="22"/>
      <c r="M185" s="2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22"/>
      <c r="AA185" s="22">
        <v>71.6445</v>
      </c>
      <c r="AB185" s="23">
        <v>1759.73969</v>
      </c>
      <c r="AC185" s="4">
        <v>419.56437</v>
      </c>
      <c r="AD185" s="22"/>
      <c r="AE185" s="22"/>
      <c r="AF185" s="22"/>
      <c r="AG185" s="22"/>
      <c r="AH185" s="20">
        <f>264.9735+26.49735+26.6038+308.8336</f>
        <v>626.90825</v>
      </c>
      <c r="AI185" s="4">
        <v>335.4374</v>
      </c>
      <c r="AJ185" s="22">
        <v>291.47085</v>
      </c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>
        <v>1998.73947</v>
      </c>
      <c r="AZ185" s="4">
        <v>2136.53475</v>
      </c>
      <c r="BA185" s="4"/>
      <c r="BB185" s="4"/>
      <c r="BC185" s="22"/>
      <c r="BD185" s="22">
        <f>602.08603+512.6418</f>
        <v>1114.72783</v>
      </c>
      <c r="BE185" s="22">
        <v>2281.17565</v>
      </c>
      <c r="BF185" s="22">
        <v>2079.90546</v>
      </c>
      <c r="BG185" s="22">
        <v>1298.30893</v>
      </c>
      <c r="BH185" s="22"/>
      <c r="BI185" s="22"/>
      <c r="BJ185" s="22"/>
      <c r="BK185" s="22"/>
      <c r="BL185" s="22"/>
      <c r="BM185" s="22"/>
      <c r="BN185" s="22"/>
      <c r="BO185" s="4"/>
      <c r="BP185" s="4"/>
      <c r="BQ185" s="4"/>
      <c r="BR185" s="4"/>
      <c r="BS185" s="4"/>
      <c r="BT185" s="22"/>
      <c r="BU185" s="24"/>
    </row>
    <row r="186" spans="1:73" ht="73.5" customHeight="1" outlineLevel="2">
      <c r="A186" s="44" t="s">
        <v>157</v>
      </c>
      <c r="B186" s="45" t="s">
        <v>132</v>
      </c>
      <c r="C186" s="39">
        <f t="shared" si="27"/>
        <v>1978.15627</v>
      </c>
      <c r="D186" s="1">
        <f t="shared" si="25"/>
        <v>1157.16844</v>
      </c>
      <c r="E186" s="1">
        <f t="shared" si="26"/>
        <v>820.98783</v>
      </c>
      <c r="F186" s="22"/>
      <c r="G186" s="22"/>
      <c r="H186" s="22"/>
      <c r="I186" s="22"/>
      <c r="J186" s="22"/>
      <c r="K186" s="22"/>
      <c r="L186" s="22"/>
      <c r="M186" s="2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22">
        <v>26.06368</v>
      </c>
      <c r="AA186" s="22">
        <v>35.8425</v>
      </c>
      <c r="AB186" s="23">
        <v>563.76407</v>
      </c>
      <c r="AC186" s="4">
        <v>179.13068</v>
      </c>
      <c r="AD186" s="22"/>
      <c r="AE186" s="22"/>
      <c r="AF186" s="22"/>
      <c r="AG186" s="22"/>
      <c r="AH186" s="20">
        <f>105.9894+115.8126</f>
        <v>221.80200000000002</v>
      </c>
      <c r="AI186" s="4">
        <v>115.8126</v>
      </c>
      <c r="AJ186" s="22">
        <v>105.9894</v>
      </c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4"/>
      <c r="BA186" s="4"/>
      <c r="BB186" s="4"/>
      <c r="BC186" s="22"/>
      <c r="BD186" s="22"/>
      <c r="BE186" s="22">
        <v>29.02093</v>
      </c>
      <c r="BF186" s="22">
        <v>567.34069</v>
      </c>
      <c r="BG186" s="22">
        <v>355.19172</v>
      </c>
      <c r="BH186" s="22"/>
      <c r="BI186" s="22"/>
      <c r="BJ186" s="22"/>
      <c r="BK186" s="22"/>
      <c r="BL186" s="22"/>
      <c r="BM186" s="22"/>
      <c r="BN186" s="22"/>
      <c r="BO186" s="4"/>
      <c r="BP186" s="4"/>
      <c r="BQ186" s="4"/>
      <c r="BR186" s="4"/>
      <c r="BS186" s="4"/>
      <c r="BT186" s="22"/>
      <c r="BU186" s="24"/>
    </row>
    <row r="187" spans="1:73" ht="73.5" customHeight="1" outlineLevel="2">
      <c r="A187" s="44" t="s">
        <v>157</v>
      </c>
      <c r="B187" s="45" t="s">
        <v>652</v>
      </c>
      <c r="C187" s="39">
        <f t="shared" si="27"/>
        <v>2404.28028</v>
      </c>
      <c r="D187" s="1">
        <f t="shared" si="25"/>
        <v>1444.81752</v>
      </c>
      <c r="E187" s="1">
        <f t="shared" si="26"/>
        <v>959.4627600000001</v>
      </c>
      <c r="F187" s="22"/>
      <c r="G187" s="22"/>
      <c r="H187" s="22"/>
      <c r="I187" s="22"/>
      <c r="J187" s="22">
        <v>502.23038</v>
      </c>
      <c r="K187" s="22">
        <v>130.09162</v>
      </c>
      <c r="L187" s="22"/>
      <c r="M187" s="2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22"/>
      <c r="AA187" s="22"/>
      <c r="AB187" s="23">
        <v>483.90162</v>
      </c>
      <c r="AC187" s="4">
        <v>141.02025</v>
      </c>
      <c r="AD187" s="22"/>
      <c r="AE187" s="22"/>
      <c r="AF187" s="22"/>
      <c r="AG187" s="22"/>
      <c r="AH187" s="20">
        <f>77.0832+77.2084</f>
        <v>154.29160000000002</v>
      </c>
      <c r="AI187" s="4">
        <v>77.2084</v>
      </c>
      <c r="AJ187" s="22">
        <v>77.0832</v>
      </c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>
        <v>61.37171</v>
      </c>
      <c r="AZ187" s="4">
        <v>66.53011</v>
      </c>
      <c r="BA187" s="4"/>
      <c r="BB187" s="4"/>
      <c r="BC187" s="22"/>
      <c r="BD187" s="22"/>
      <c r="BE187" s="22">
        <v>219.3</v>
      </c>
      <c r="BF187" s="22">
        <v>397.31381</v>
      </c>
      <c r="BG187" s="22">
        <v>248.22918</v>
      </c>
      <c r="BH187" s="22"/>
      <c r="BI187" s="22"/>
      <c r="BJ187" s="22"/>
      <c r="BK187" s="22"/>
      <c r="BL187" s="22"/>
      <c r="BM187" s="22"/>
      <c r="BN187" s="22"/>
      <c r="BO187" s="4"/>
      <c r="BP187" s="4"/>
      <c r="BQ187" s="4"/>
      <c r="BR187" s="4"/>
      <c r="BS187" s="4"/>
      <c r="BT187" s="22"/>
      <c r="BU187" s="24"/>
    </row>
    <row r="188" spans="1:73" ht="73.5" customHeight="1" outlineLevel="2">
      <c r="A188" s="44" t="s">
        <v>157</v>
      </c>
      <c r="B188" s="26" t="s">
        <v>653</v>
      </c>
      <c r="C188" s="39">
        <f t="shared" si="27"/>
        <v>345.63729</v>
      </c>
      <c r="D188" s="1">
        <f t="shared" si="25"/>
        <v>175.17096</v>
      </c>
      <c r="E188" s="1">
        <f t="shared" si="26"/>
        <v>170.46632999999997</v>
      </c>
      <c r="F188" s="22"/>
      <c r="G188" s="22"/>
      <c r="H188" s="22"/>
      <c r="I188" s="22"/>
      <c r="J188" s="22">
        <v>42.99319</v>
      </c>
      <c r="K188" s="22">
        <v>9.91513</v>
      </c>
      <c r="L188" s="22"/>
      <c r="M188" s="2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22"/>
      <c r="AA188" s="4"/>
      <c r="AB188" s="23">
        <v>73.89484</v>
      </c>
      <c r="AC188" s="4">
        <v>23.30913</v>
      </c>
      <c r="AD188" s="22"/>
      <c r="AE188" s="22"/>
      <c r="AF188" s="22"/>
      <c r="AG188" s="22"/>
      <c r="AH188" s="20">
        <f>14.4531+16.8636</f>
        <v>31.3167</v>
      </c>
      <c r="AI188" s="4">
        <v>16.8636</v>
      </c>
      <c r="AJ188" s="22">
        <v>14.4531</v>
      </c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4"/>
      <c r="BA188" s="4"/>
      <c r="BB188" s="4"/>
      <c r="BC188" s="22"/>
      <c r="BD188" s="22"/>
      <c r="BE188" s="22">
        <v>69.5</v>
      </c>
      <c r="BF188" s="22">
        <v>58.28293</v>
      </c>
      <c r="BG188" s="22">
        <v>36.42537</v>
      </c>
      <c r="BH188" s="22"/>
      <c r="BI188" s="22"/>
      <c r="BJ188" s="22"/>
      <c r="BK188" s="22"/>
      <c r="BL188" s="22"/>
      <c r="BM188" s="22"/>
      <c r="BN188" s="22"/>
      <c r="BO188" s="4"/>
      <c r="BP188" s="4"/>
      <c r="BQ188" s="4"/>
      <c r="BR188" s="4"/>
      <c r="BS188" s="4"/>
      <c r="BT188" s="22"/>
      <c r="BU188" s="24"/>
    </row>
    <row r="189" spans="1:73" ht="73.5" customHeight="1" outlineLevel="2">
      <c r="A189" s="44" t="s">
        <v>157</v>
      </c>
      <c r="B189" s="26" t="s">
        <v>579</v>
      </c>
      <c r="C189" s="39">
        <f t="shared" si="27"/>
        <v>5940</v>
      </c>
      <c r="D189" s="1">
        <f t="shared" si="25"/>
        <v>0</v>
      </c>
      <c r="E189" s="1">
        <f t="shared" si="26"/>
        <v>5940</v>
      </c>
      <c r="F189" s="22"/>
      <c r="G189" s="22"/>
      <c r="H189" s="22"/>
      <c r="I189" s="22"/>
      <c r="J189" s="22"/>
      <c r="K189" s="22"/>
      <c r="L189" s="22"/>
      <c r="M189" s="2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22"/>
      <c r="AA189" s="4"/>
      <c r="AB189" s="23"/>
      <c r="AC189" s="4"/>
      <c r="AD189" s="22"/>
      <c r="AE189" s="22"/>
      <c r="AF189" s="22"/>
      <c r="AG189" s="22"/>
      <c r="AH189" s="20"/>
      <c r="AI189" s="4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4"/>
      <c r="BA189" s="4"/>
      <c r="BB189" s="4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4"/>
      <c r="BP189" s="4"/>
      <c r="BQ189" s="4"/>
      <c r="BR189" s="4"/>
      <c r="BS189" s="4"/>
      <c r="BT189" s="22">
        <v>5940</v>
      </c>
      <c r="BU189" s="24"/>
    </row>
    <row r="190" spans="1:73" ht="73.5" customHeight="1" outlineLevel="2">
      <c r="A190" s="44" t="s">
        <v>157</v>
      </c>
      <c r="B190" s="45" t="s">
        <v>654</v>
      </c>
      <c r="C190" s="39">
        <f t="shared" si="27"/>
        <v>3459.92267</v>
      </c>
      <c r="D190" s="1">
        <f t="shared" si="25"/>
        <v>1811.97768</v>
      </c>
      <c r="E190" s="1">
        <f t="shared" si="26"/>
        <v>1647.9449900000002</v>
      </c>
      <c r="F190" s="22"/>
      <c r="G190" s="22"/>
      <c r="H190" s="22"/>
      <c r="I190" s="22"/>
      <c r="J190" s="22">
        <v>283.91149</v>
      </c>
      <c r="K190" s="22">
        <v>86.49355</v>
      </c>
      <c r="L190" s="22"/>
      <c r="M190" s="22"/>
      <c r="N190" s="4">
        <f>13.02973+293.39201</f>
        <v>306.42174</v>
      </c>
      <c r="O190" s="4">
        <f>0.66455+11.97821</f>
        <v>12.64276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22"/>
      <c r="AA190" s="4"/>
      <c r="AB190" s="23">
        <v>538.24734</v>
      </c>
      <c r="AC190" s="4">
        <v>168.17539</v>
      </c>
      <c r="AD190" s="22"/>
      <c r="AE190" s="22"/>
      <c r="AF190" s="22"/>
      <c r="AG190" s="22"/>
      <c r="AH190" s="20">
        <f>81.9009+82.8296</f>
        <v>164.7305</v>
      </c>
      <c r="AI190" s="4">
        <v>82.8296</v>
      </c>
      <c r="AJ190" s="22">
        <v>81.9009</v>
      </c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>
        <v>121.39246</v>
      </c>
      <c r="AZ190" s="4">
        <v>130.8043</v>
      </c>
      <c r="BA190" s="4"/>
      <c r="BB190" s="4"/>
      <c r="BC190" s="22"/>
      <c r="BD190" s="22"/>
      <c r="BE190" s="22">
        <v>734.469</v>
      </c>
      <c r="BF190" s="22">
        <v>562.00465</v>
      </c>
      <c r="BG190" s="22">
        <v>350.62949</v>
      </c>
      <c r="BH190" s="22"/>
      <c r="BI190" s="22"/>
      <c r="BJ190" s="22"/>
      <c r="BK190" s="22"/>
      <c r="BL190" s="22"/>
      <c r="BM190" s="22"/>
      <c r="BN190" s="22"/>
      <c r="BO190" s="4"/>
      <c r="BP190" s="4"/>
      <c r="BQ190" s="4"/>
      <c r="BR190" s="4"/>
      <c r="BS190" s="4"/>
      <c r="BT190" s="22"/>
      <c r="BU190" s="24"/>
    </row>
    <row r="191" spans="1:73" ht="73.5" customHeight="1" outlineLevel="2">
      <c r="A191" s="44" t="s">
        <v>157</v>
      </c>
      <c r="B191" s="45" t="s">
        <v>655</v>
      </c>
      <c r="C191" s="39">
        <f t="shared" si="27"/>
        <v>874.2155399999999</v>
      </c>
      <c r="D191" s="1">
        <f t="shared" si="25"/>
        <v>447.86198</v>
      </c>
      <c r="E191" s="1">
        <f t="shared" si="26"/>
        <v>426.35355999999996</v>
      </c>
      <c r="F191" s="22"/>
      <c r="G191" s="22"/>
      <c r="H191" s="22"/>
      <c r="I191" s="22"/>
      <c r="J191" s="22"/>
      <c r="K191" s="22"/>
      <c r="L191" s="22"/>
      <c r="M191" s="2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22">
        <v>173.75789</v>
      </c>
      <c r="AA191" s="4">
        <v>238.8285</v>
      </c>
      <c r="AB191" s="4">
        <v>150.68557</v>
      </c>
      <c r="AC191" s="4">
        <v>47.78372</v>
      </c>
      <c r="AD191" s="22"/>
      <c r="AE191" s="22"/>
      <c r="AF191" s="22"/>
      <c r="AG191" s="22"/>
      <c r="AH191" s="20">
        <f>28.9062+33.7272</f>
        <v>62.6334</v>
      </c>
      <c r="AI191" s="4">
        <v>33.7272</v>
      </c>
      <c r="AJ191" s="22">
        <v>28.9062</v>
      </c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4"/>
      <c r="BA191" s="4"/>
      <c r="BB191" s="4"/>
      <c r="BC191" s="22"/>
      <c r="BD191" s="22"/>
      <c r="BE191" s="22"/>
      <c r="BF191" s="22">
        <v>123.41852</v>
      </c>
      <c r="BG191" s="22">
        <v>77.10794</v>
      </c>
      <c r="BH191" s="22"/>
      <c r="BI191" s="22"/>
      <c r="BJ191" s="22"/>
      <c r="BK191" s="22"/>
      <c r="BL191" s="22"/>
      <c r="BM191" s="22"/>
      <c r="BN191" s="22"/>
      <c r="BO191" s="4"/>
      <c r="BP191" s="4"/>
      <c r="BQ191" s="4"/>
      <c r="BR191" s="4"/>
      <c r="BS191" s="4"/>
      <c r="BT191" s="22"/>
      <c r="BU191" s="24"/>
    </row>
    <row r="192" spans="1:73" ht="73.5" customHeight="1" outlineLevel="2">
      <c r="A192" s="44" t="s">
        <v>157</v>
      </c>
      <c r="B192" s="45" t="s">
        <v>656</v>
      </c>
      <c r="C192" s="39">
        <f t="shared" si="27"/>
        <v>1378.70235</v>
      </c>
      <c r="D192" s="1">
        <f t="shared" si="25"/>
        <v>904.1619199999999</v>
      </c>
      <c r="E192" s="1">
        <f t="shared" si="26"/>
        <v>474.54043</v>
      </c>
      <c r="F192" s="22"/>
      <c r="G192" s="22"/>
      <c r="H192" s="22"/>
      <c r="I192" s="22"/>
      <c r="J192" s="22">
        <v>310.97799</v>
      </c>
      <c r="K192" s="22">
        <v>80.26949</v>
      </c>
      <c r="L192" s="22"/>
      <c r="M192" s="22"/>
      <c r="N192" s="4">
        <f>20.38577</f>
        <v>20.38577</v>
      </c>
      <c r="O192" s="4">
        <f>0.91527</f>
        <v>0.91527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22">
        <v>8.68789</v>
      </c>
      <c r="AA192" s="4">
        <v>11.9475</v>
      </c>
      <c r="AB192" s="23">
        <v>184.06733</v>
      </c>
      <c r="AC192" s="4">
        <v>58.27283</v>
      </c>
      <c r="AD192" s="22"/>
      <c r="AE192" s="22"/>
      <c r="AF192" s="22"/>
      <c r="AG192" s="22"/>
      <c r="AH192" s="20">
        <f>28.9062+33.7272</f>
        <v>62.6334</v>
      </c>
      <c r="AI192" s="4">
        <v>33.7272</v>
      </c>
      <c r="AJ192" s="22">
        <v>28.9062</v>
      </c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>
        <v>209.39718</v>
      </c>
      <c r="AZ192" s="4">
        <v>225.29589</v>
      </c>
      <c r="BA192" s="4"/>
      <c r="BB192" s="4"/>
      <c r="BC192" s="22"/>
      <c r="BD192" s="22"/>
      <c r="BE192" s="22"/>
      <c r="BF192" s="22">
        <v>170.64576</v>
      </c>
      <c r="BG192" s="22">
        <v>35.20605</v>
      </c>
      <c r="BH192" s="22"/>
      <c r="BI192" s="22"/>
      <c r="BJ192" s="22"/>
      <c r="BK192" s="22"/>
      <c r="BL192" s="22"/>
      <c r="BM192" s="22"/>
      <c r="BN192" s="22"/>
      <c r="BO192" s="4"/>
      <c r="BP192" s="4"/>
      <c r="BQ192" s="4"/>
      <c r="BR192" s="4"/>
      <c r="BS192" s="4"/>
      <c r="BT192" s="22"/>
      <c r="BU192" s="24"/>
    </row>
    <row r="193" spans="1:73" ht="73.5" customHeight="1" outlineLevel="2">
      <c r="A193" s="44" t="s">
        <v>157</v>
      </c>
      <c r="B193" s="45" t="s">
        <v>657</v>
      </c>
      <c r="C193" s="39">
        <f t="shared" si="27"/>
        <v>591.79761</v>
      </c>
      <c r="D193" s="1">
        <f t="shared" si="25"/>
        <v>168.79767</v>
      </c>
      <c r="E193" s="1">
        <f t="shared" si="26"/>
        <v>422.99994</v>
      </c>
      <c r="F193" s="22"/>
      <c r="G193" s="22"/>
      <c r="H193" s="22"/>
      <c r="I193" s="22"/>
      <c r="J193" s="22"/>
      <c r="K193" s="22"/>
      <c r="L193" s="22"/>
      <c r="M193" s="2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22">
        <v>3.47516</v>
      </c>
      <c r="AA193" s="4">
        <v>4.779</v>
      </c>
      <c r="AB193" s="23">
        <v>64.35963</v>
      </c>
      <c r="AC193" s="4">
        <v>20.39549</v>
      </c>
      <c r="AD193" s="22"/>
      <c r="AE193" s="22"/>
      <c r="AF193" s="22"/>
      <c r="AG193" s="22"/>
      <c r="AH193" s="20">
        <f>9.6354+11.2424</f>
        <v>20.8778</v>
      </c>
      <c r="AI193" s="4">
        <v>11.2424</v>
      </c>
      <c r="AJ193" s="22">
        <v>9.6354</v>
      </c>
      <c r="AK193" s="22"/>
      <c r="AL193" s="22">
        <v>242.83585</v>
      </c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>
        <v>38.40556</v>
      </c>
      <c r="AZ193" s="4">
        <v>51.33275</v>
      </c>
      <c r="BA193" s="4"/>
      <c r="BB193" s="4"/>
      <c r="BC193" s="22"/>
      <c r="BD193" s="22"/>
      <c r="BE193" s="22">
        <v>43.71</v>
      </c>
      <c r="BF193" s="22">
        <v>62.55732</v>
      </c>
      <c r="BG193" s="22">
        <v>39.06905</v>
      </c>
      <c r="BH193" s="22"/>
      <c r="BI193" s="22"/>
      <c r="BJ193" s="22"/>
      <c r="BK193" s="22"/>
      <c r="BL193" s="22"/>
      <c r="BM193" s="22"/>
      <c r="BN193" s="22"/>
      <c r="BO193" s="4"/>
      <c r="BP193" s="4"/>
      <c r="BQ193" s="4"/>
      <c r="BR193" s="4"/>
      <c r="BS193" s="4"/>
      <c r="BT193" s="22"/>
      <c r="BU193" s="24"/>
    </row>
    <row r="194" spans="1:73" ht="73.5" customHeight="1" outlineLevel="2">
      <c r="A194" s="44" t="s">
        <v>157</v>
      </c>
      <c r="B194" s="45" t="s">
        <v>814</v>
      </c>
      <c r="C194" s="39">
        <f>D194+E194</f>
        <v>3000</v>
      </c>
      <c r="D194" s="1">
        <f t="shared" si="25"/>
        <v>1500</v>
      </c>
      <c r="E194" s="1">
        <f t="shared" si="26"/>
        <v>1500</v>
      </c>
      <c r="F194" s="22"/>
      <c r="G194" s="22"/>
      <c r="H194" s="22"/>
      <c r="I194" s="22"/>
      <c r="J194" s="22"/>
      <c r="K194" s="22"/>
      <c r="L194" s="22"/>
      <c r="M194" s="2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22"/>
      <c r="AA194" s="4"/>
      <c r="AB194" s="23"/>
      <c r="AC194" s="4"/>
      <c r="AD194" s="22"/>
      <c r="AE194" s="22"/>
      <c r="AF194" s="22"/>
      <c r="AG194" s="22"/>
      <c r="AH194" s="20"/>
      <c r="AI194" s="4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4"/>
      <c r="BA194" s="4"/>
      <c r="BB194" s="4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4">
        <v>1500</v>
      </c>
      <c r="BP194" s="4">
        <v>1500</v>
      </c>
      <c r="BQ194" s="4"/>
      <c r="BR194" s="4"/>
      <c r="BS194" s="4"/>
      <c r="BT194" s="22"/>
      <c r="BU194" s="24"/>
    </row>
    <row r="195" spans="1:73" ht="73.5" customHeight="1" outlineLevel="2">
      <c r="A195" s="44" t="s">
        <v>157</v>
      </c>
      <c r="B195" s="27" t="s">
        <v>658</v>
      </c>
      <c r="C195" s="39">
        <f t="shared" si="27"/>
        <v>71.95047</v>
      </c>
      <c r="D195" s="1">
        <f t="shared" si="25"/>
        <v>41.285250000000005</v>
      </c>
      <c r="E195" s="1">
        <f t="shared" si="26"/>
        <v>30.665219999999998</v>
      </c>
      <c r="F195" s="22"/>
      <c r="G195" s="22"/>
      <c r="H195" s="22"/>
      <c r="I195" s="22"/>
      <c r="J195" s="22"/>
      <c r="K195" s="22"/>
      <c r="L195" s="22"/>
      <c r="M195" s="2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22">
        <v>1.73758</v>
      </c>
      <c r="AA195" s="4">
        <v>2.3895</v>
      </c>
      <c r="AB195" s="23">
        <v>22.38936</v>
      </c>
      <c r="AC195" s="4">
        <v>7.10929</v>
      </c>
      <c r="AD195" s="22"/>
      <c r="AE195" s="22"/>
      <c r="AF195" s="22"/>
      <c r="AG195" s="22"/>
      <c r="AH195" s="20">
        <f>4.8177+5.6212</f>
        <v>10.4389</v>
      </c>
      <c r="AI195" s="4">
        <v>5.6212</v>
      </c>
      <c r="AJ195" s="22">
        <v>4.8177</v>
      </c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4"/>
      <c r="BA195" s="4"/>
      <c r="BB195" s="4"/>
      <c r="BC195" s="22"/>
      <c r="BD195" s="22"/>
      <c r="BE195" s="22"/>
      <c r="BF195" s="22">
        <v>17.15831</v>
      </c>
      <c r="BG195" s="22">
        <v>10.72753</v>
      </c>
      <c r="BH195" s="22"/>
      <c r="BI195" s="22"/>
      <c r="BJ195" s="22"/>
      <c r="BK195" s="22"/>
      <c r="BL195" s="22"/>
      <c r="BM195" s="22"/>
      <c r="BN195" s="22"/>
      <c r="BO195" s="4"/>
      <c r="BP195" s="4"/>
      <c r="BQ195" s="4"/>
      <c r="BR195" s="4"/>
      <c r="BS195" s="4"/>
      <c r="BT195" s="22"/>
      <c r="BU195" s="24"/>
    </row>
    <row r="196" spans="1:73" ht="73.5" customHeight="1" outlineLevel="2">
      <c r="A196" s="44" t="s">
        <v>157</v>
      </c>
      <c r="B196" s="27" t="s">
        <v>659</v>
      </c>
      <c r="C196" s="39">
        <f t="shared" si="27"/>
        <v>55.86</v>
      </c>
      <c r="D196" s="1">
        <f t="shared" si="25"/>
        <v>0</v>
      </c>
      <c r="E196" s="1">
        <f t="shared" si="26"/>
        <v>55.86</v>
      </c>
      <c r="F196" s="22"/>
      <c r="G196" s="22"/>
      <c r="H196" s="22"/>
      <c r="I196" s="22"/>
      <c r="J196" s="22"/>
      <c r="K196" s="22"/>
      <c r="L196" s="22"/>
      <c r="M196" s="2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22"/>
      <c r="AA196" s="4"/>
      <c r="AB196" s="23"/>
      <c r="AC196" s="4"/>
      <c r="AD196" s="22"/>
      <c r="AE196" s="22"/>
      <c r="AF196" s="22"/>
      <c r="AG196" s="22"/>
      <c r="AH196" s="20"/>
      <c r="AI196" s="4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4"/>
      <c r="BA196" s="4"/>
      <c r="BB196" s="4"/>
      <c r="BC196" s="22"/>
      <c r="BD196" s="22"/>
      <c r="BE196" s="22">
        <v>55.86</v>
      </c>
      <c r="BF196" s="22"/>
      <c r="BG196" s="22"/>
      <c r="BH196" s="22"/>
      <c r="BI196" s="22"/>
      <c r="BJ196" s="22"/>
      <c r="BK196" s="22"/>
      <c r="BL196" s="22"/>
      <c r="BM196" s="22"/>
      <c r="BN196" s="22"/>
      <c r="BO196" s="4"/>
      <c r="BP196" s="4"/>
      <c r="BQ196" s="4"/>
      <c r="BR196" s="4"/>
      <c r="BS196" s="4"/>
      <c r="BT196" s="22"/>
      <c r="BU196" s="24"/>
    </row>
    <row r="197" spans="1:73" ht="73.5" customHeight="1" outlineLevel="2">
      <c r="A197" s="44" t="s">
        <v>157</v>
      </c>
      <c r="B197" s="45" t="s">
        <v>660</v>
      </c>
      <c r="C197" s="39">
        <f t="shared" si="27"/>
        <v>464.49784000000005</v>
      </c>
      <c r="D197" s="1">
        <f t="shared" si="25"/>
        <v>265.87064000000004</v>
      </c>
      <c r="E197" s="1">
        <f t="shared" si="26"/>
        <v>198.62720000000002</v>
      </c>
      <c r="F197" s="22"/>
      <c r="G197" s="22"/>
      <c r="H197" s="22"/>
      <c r="I197" s="22"/>
      <c r="J197" s="22"/>
      <c r="K197" s="22"/>
      <c r="L197" s="22"/>
      <c r="M197" s="2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22">
        <v>8.68789</v>
      </c>
      <c r="AA197" s="4">
        <v>11.9475</v>
      </c>
      <c r="AB197" s="23">
        <v>136.20982</v>
      </c>
      <c r="AC197" s="4">
        <v>43.12189</v>
      </c>
      <c r="AD197" s="22"/>
      <c r="AE197" s="22"/>
      <c r="AF197" s="22"/>
      <c r="AG197" s="22"/>
      <c r="AH197" s="20">
        <f>4.50665+24.0885+39.3484</f>
        <v>67.94355</v>
      </c>
      <c r="AI197" s="4">
        <v>39.3484</v>
      </c>
      <c r="AJ197" s="22">
        <v>28.59515</v>
      </c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4"/>
      <c r="BA197" s="4"/>
      <c r="BB197" s="4"/>
      <c r="BC197" s="22"/>
      <c r="BD197" s="22"/>
      <c r="BE197" s="22"/>
      <c r="BF197" s="22">
        <v>120.97293</v>
      </c>
      <c r="BG197" s="22">
        <v>75.61426</v>
      </c>
      <c r="BH197" s="22"/>
      <c r="BI197" s="22"/>
      <c r="BJ197" s="22"/>
      <c r="BK197" s="22"/>
      <c r="BL197" s="22"/>
      <c r="BM197" s="22"/>
      <c r="BN197" s="22"/>
      <c r="BO197" s="4"/>
      <c r="BP197" s="4"/>
      <c r="BQ197" s="4"/>
      <c r="BR197" s="4"/>
      <c r="BS197" s="4"/>
      <c r="BT197" s="22"/>
      <c r="BU197" s="24"/>
    </row>
    <row r="198" spans="1:73" ht="73.5" customHeight="1" outlineLevel="2">
      <c r="A198" s="44" t="s">
        <v>157</v>
      </c>
      <c r="B198" s="45" t="s">
        <v>661</v>
      </c>
      <c r="C198" s="39">
        <f t="shared" si="27"/>
        <v>3902.00371</v>
      </c>
      <c r="D198" s="1">
        <f t="shared" si="25"/>
        <v>1302.94555</v>
      </c>
      <c r="E198" s="1">
        <f t="shared" si="26"/>
        <v>2599.05816</v>
      </c>
      <c r="F198" s="22"/>
      <c r="G198" s="22"/>
      <c r="H198" s="22"/>
      <c r="I198" s="22"/>
      <c r="J198" s="22">
        <v>29.86907</v>
      </c>
      <c r="K198" s="22">
        <v>42.06869</v>
      </c>
      <c r="L198" s="22">
        <f>158.11931+29.41015</f>
        <v>187.52946000000003</v>
      </c>
      <c r="M198" s="22"/>
      <c r="N198" s="4">
        <f>22.83938</f>
        <v>22.83938</v>
      </c>
      <c r="O198" s="4">
        <f>0.92955</f>
        <v>0.92955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22">
        <v>12.16305</v>
      </c>
      <c r="AA198" s="22">
        <v>20.412</v>
      </c>
      <c r="AB198" s="23">
        <v>674.68623</v>
      </c>
      <c r="AC198" s="4">
        <v>198.12762</v>
      </c>
      <c r="AD198" s="22"/>
      <c r="AE198" s="22"/>
      <c r="AF198" s="22"/>
      <c r="AG198" s="22"/>
      <c r="AH198" s="20">
        <f>120.4425+115.8126</f>
        <v>236.2551</v>
      </c>
      <c r="AI198" s="4">
        <v>115.8126</v>
      </c>
      <c r="AJ198" s="22">
        <v>120.4425</v>
      </c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4"/>
      <c r="BA198" s="4"/>
      <c r="BB198" s="4"/>
      <c r="BC198" s="22"/>
      <c r="BD198" s="22"/>
      <c r="BE198" s="22">
        <v>1562.07319</v>
      </c>
      <c r="BF198" s="22">
        <v>563.38782</v>
      </c>
      <c r="BG198" s="22">
        <v>351.66255</v>
      </c>
      <c r="BH198" s="22"/>
      <c r="BI198" s="22"/>
      <c r="BJ198" s="22"/>
      <c r="BK198" s="22"/>
      <c r="BL198" s="22"/>
      <c r="BM198" s="22"/>
      <c r="BN198" s="22"/>
      <c r="BO198" s="4"/>
      <c r="BP198" s="4"/>
      <c r="BQ198" s="4"/>
      <c r="BR198" s="4"/>
      <c r="BS198" s="4"/>
      <c r="BT198" s="22"/>
      <c r="BU198" s="24"/>
    </row>
    <row r="199" spans="1:73" ht="73.5" customHeight="1" outlineLevel="2">
      <c r="A199" s="44" t="s">
        <v>157</v>
      </c>
      <c r="B199" s="45" t="s">
        <v>476</v>
      </c>
      <c r="C199" s="39">
        <f t="shared" si="27"/>
        <v>443.38788</v>
      </c>
      <c r="D199" s="1">
        <f t="shared" si="25"/>
        <v>262.38422</v>
      </c>
      <c r="E199" s="1">
        <f t="shared" si="26"/>
        <v>181.00366</v>
      </c>
      <c r="F199" s="22"/>
      <c r="G199" s="22"/>
      <c r="H199" s="22"/>
      <c r="I199" s="22"/>
      <c r="J199" s="22"/>
      <c r="K199" s="22"/>
      <c r="L199" s="22"/>
      <c r="M199" s="2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22"/>
      <c r="AA199" s="22"/>
      <c r="AB199" s="23">
        <v>147.59484</v>
      </c>
      <c r="AC199" s="4">
        <v>46.61826</v>
      </c>
      <c r="AD199" s="22"/>
      <c r="AE199" s="22"/>
      <c r="AF199" s="22"/>
      <c r="AG199" s="22"/>
      <c r="AH199" s="20">
        <f>28.9062+33.7272</f>
        <v>62.6334</v>
      </c>
      <c r="AI199" s="4">
        <v>33.7272</v>
      </c>
      <c r="AJ199" s="22">
        <v>28.9062</v>
      </c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4"/>
      <c r="BA199" s="4"/>
      <c r="BB199" s="4"/>
      <c r="BC199" s="22"/>
      <c r="BD199" s="22"/>
      <c r="BE199" s="22"/>
      <c r="BF199" s="22">
        <v>114.78938</v>
      </c>
      <c r="BG199" s="22">
        <v>71.752</v>
      </c>
      <c r="BH199" s="22"/>
      <c r="BI199" s="22"/>
      <c r="BJ199" s="22"/>
      <c r="BK199" s="22"/>
      <c r="BL199" s="22"/>
      <c r="BM199" s="22"/>
      <c r="BN199" s="22"/>
      <c r="BO199" s="4"/>
      <c r="BP199" s="4"/>
      <c r="BQ199" s="4"/>
      <c r="BR199" s="4"/>
      <c r="BS199" s="4"/>
      <c r="BT199" s="22"/>
      <c r="BU199" s="24"/>
    </row>
    <row r="200" spans="1:73" ht="73.5" customHeight="1" outlineLevel="2" thickBot="1">
      <c r="A200" s="44" t="s">
        <v>157</v>
      </c>
      <c r="B200" s="45" t="s">
        <v>662</v>
      </c>
      <c r="C200" s="39">
        <f t="shared" si="27"/>
        <v>460.16888</v>
      </c>
      <c r="D200" s="1">
        <f t="shared" si="25"/>
        <v>154.02384999999998</v>
      </c>
      <c r="E200" s="1">
        <f t="shared" si="26"/>
        <v>306.14503</v>
      </c>
      <c r="F200" s="22"/>
      <c r="G200" s="22"/>
      <c r="H200" s="22"/>
      <c r="I200" s="22"/>
      <c r="J200" s="22"/>
      <c r="K200" s="22"/>
      <c r="L200" s="22"/>
      <c r="M200" s="2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22"/>
      <c r="AA200" s="22"/>
      <c r="AB200" s="23">
        <v>91.72618</v>
      </c>
      <c r="AC200" s="4">
        <v>29.01987</v>
      </c>
      <c r="AD200" s="22"/>
      <c r="AE200" s="22"/>
      <c r="AF200" s="22"/>
      <c r="AG200" s="22"/>
      <c r="AH200" s="20">
        <f>14.4531+16.8636</f>
        <v>31.3167</v>
      </c>
      <c r="AI200" s="4">
        <v>16.8636</v>
      </c>
      <c r="AJ200" s="22">
        <v>14.4531</v>
      </c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4"/>
      <c r="BA200" s="4"/>
      <c r="BB200" s="4"/>
      <c r="BC200" s="22"/>
      <c r="BD200" s="22"/>
      <c r="BE200" s="22">
        <v>206.9</v>
      </c>
      <c r="BF200" s="22">
        <v>62.29767</v>
      </c>
      <c r="BG200" s="22">
        <v>38.90846</v>
      </c>
      <c r="BH200" s="22"/>
      <c r="BI200" s="22"/>
      <c r="BJ200" s="22"/>
      <c r="BK200" s="22"/>
      <c r="BL200" s="22"/>
      <c r="BM200" s="22"/>
      <c r="BN200" s="22"/>
      <c r="BO200" s="4"/>
      <c r="BP200" s="4"/>
      <c r="BQ200" s="4"/>
      <c r="BR200" s="4"/>
      <c r="BS200" s="4"/>
      <c r="BT200" s="22"/>
      <c r="BU200" s="24"/>
    </row>
    <row r="201" spans="1:74" s="35" customFormat="1" ht="73.5" customHeight="1" outlineLevel="1" thickBot="1">
      <c r="A201" s="53" t="s">
        <v>384</v>
      </c>
      <c r="B201" s="48"/>
      <c r="C201" s="49">
        <f aca="true" t="shared" si="28" ref="C201:BN201">SUBTOTAL(9,C183:C200)</f>
        <v>649304.3469300001</v>
      </c>
      <c r="D201" s="49">
        <f t="shared" si="28"/>
        <v>257658.27468000003</v>
      </c>
      <c r="E201" s="49">
        <f t="shared" si="28"/>
        <v>391646.0722500001</v>
      </c>
      <c r="F201" s="49">
        <f t="shared" si="28"/>
        <v>235665.06992</v>
      </c>
      <c r="G201" s="49">
        <f t="shared" si="28"/>
        <v>265134.79522</v>
      </c>
      <c r="H201" s="49">
        <f t="shared" si="28"/>
        <v>0</v>
      </c>
      <c r="I201" s="49">
        <f t="shared" si="28"/>
        <v>0</v>
      </c>
      <c r="J201" s="49">
        <f t="shared" si="28"/>
        <v>1169.98212</v>
      </c>
      <c r="K201" s="49">
        <f t="shared" si="28"/>
        <v>348.83848</v>
      </c>
      <c r="L201" s="49">
        <f t="shared" si="28"/>
        <v>187.52946000000003</v>
      </c>
      <c r="M201" s="49">
        <f t="shared" si="28"/>
        <v>0</v>
      </c>
      <c r="N201" s="49">
        <f t="shared" si="28"/>
        <v>349.64689</v>
      </c>
      <c r="O201" s="49">
        <f t="shared" si="28"/>
        <v>14.487580000000001</v>
      </c>
      <c r="P201" s="49">
        <f t="shared" si="28"/>
        <v>0</v>
      </c>
      <c r="Q201" s="49">
        <f t="shared" si="28"/>
        <v>0</v>
      </c>
      <c r="R201" s="49">
        <f t="shared" si="28"/>
        <v>684.14802</v>
      </c>
      <c r="S201" s="49">
        <f t="shared" si="28"/>
        <v>663.38477</v>
      </c>
      <c r="T201" s="49">
        <f t="shared" si="28"/>
        <v>0</v>
      </c>
      <c r="U201" s="49">
        <f t="shared" si="28"/>
        <v>0</v>
      </c>
      <c r="V201" s="49">
        <f t="shared" si="28"/>
        <v>0</v>
      </c>
      <c r="W201" s="49">
        <f t="shared" si="28"/>
        <v>0</v>
      </c>
      <c r="X201" s="49">
        <f t="shared" si="28"/>
        <v>0</v>
      </c>
      <c r="Y201" s="49">
        <f t="shared" si="28"/>
        <v>0</v>
      </c>
      <c r="Z201" s="49">
        <f t="shared" si="28"/>
        <v>234.57314000000002</v>
      </c>
      <c r="AA201" s="49">
        <f t="shared" si="28"/>
        <v>397.79099999999994</v>
      </c>
      <c r="AB201" s="49">
        <f t="shared" si="28"/>
        <v>6724.633149999999</v>
      </c>
      <c r="AC201" s="49">
        <f t="shared" si="28"/>
        <v>1964.37709</v>
      </c>
      <c r="AD201" s="49">
        <f t="shared" si="28"/>
        <v>1920.64108</v>
      </c>
      <c r="AE201" s="49">
        <f t="shared" si="28"/>
        <v>293.30336</v>
      </c>
      <c r="AF201" s="49">
        <f t="shared" si="28"/>
        <v>0</v>
      </c>
      <c r="AG201" s="49">
        <f t="shared" si="28"/>
        <v>0</v>
      </c>
      <c r="AH201" s="49">
        <f t="shared" si="28"/>
        <v>2674.4975000000004</v>
      </c>
      <c r="AI201" s="49">
        <f t="shared" si="28"/>
        <v>1378.8472500000003</v>
      </c>
      <c r="AJ201" s="49">
        <f t="shared" si="28"/>
        <v>1295.65025</v>
      </c>
      <c r="AK201" s="49">
        <f t="shared" si="28"/>
        <v>0</v>
      </c>
      <c r="AL201" s="49">
        <f t="shared" si="28"/>
        <v>242.83585</v>
      </c>
      <c r="AM201" s="49">
        <f t="shared" si="28"/>
        <v>0</v>
      </c>
      <c r="AN201" s="49">
        <f t="shared" si="28"/>
        <v>0</v>
      </c>
      <c r="AO201" s="49">
        <f t="shared" si="28"/>
        <v>0</v>
      </c>
      <c r="AP201" s="49">
        <f t="shared" si="28"/>
        <v>0</v>
      </c>
      <c r="AQ201" s="49">
        <f t="shared" si="28"/>
        <v>0</v>
      </c>
      <c r="AR201" s="49">
        <f t="shared" si="28"/>
        <v>0</v>
      </c>
      <c r="AS201" s="49">
        <f t="shared" si="28"/>
        <v>0</v>
      </c>
      <c r="AT201" s="49">
        <f t="shared" si="28"/>
        <v>0</v>
      </c>
      <c r="AU201" s="49">
        <f t="shared" si="28"/>
        <v>0</v>
      </c>
      <c r="AV201" s="49">
        <f t="shared" si="28"/>
        <v>0</v>
      </c>
      <c r="AW201" s="49">
        <f t="shared" si="28"/>
        <v>0</v>
      </c>
      <c r="AX201" s="49">
        <f t="shared" si="28"/>
        <v>0</v>
      </c>
      <c r="AY201" s="49">
        <f t="shared" si="28"/>
        <v>2429.30638</v>
      </c>
      <c r="AZ201" s="49">
        <f t="shared" si="28"/>
        <v>2610.4978</v>
      </c>
      <c r="BA201" s="49">
        <f t="shared" si="28"/>
        <v>0</v>
      </c>
      <c r="BB201" s="49">
        <f t="shared" si="28"/>
        <v>0</v>
      </c>
      <c r="BC201" s="49">
        <f t="shared" si="28"/>
        <v>0</v>
      </c>
      <c r="BD201" s="49">
        <f t="shared" si="28"/>
        <v>100184.0266</v>
      </c>
      <c r="BE201" s="49">
        <f t="shared" si="28"/>
        <v>5202.00877</v>
      </c>
      <c r="BF201" s="49">
        <f t="shared" si="28"/>
        <v>6980.27398</v>
      </c>
      <c r="BG201" s="49">
        <f t="shared" si="28"/>
        <v>4287.698769999999</v>
      </c>
      <c r="BH201" s="49">
        <f t="shared" si="28"/>
        <v>0</v>
      </c>
      <c r="BI201" s="49">
        <f t="shared" si="28"/>
        <v>0</v>
      </c>
      <c r="BJ201" s="49">
        <f t="shared" si="28"/>
        <v>0</v>
      </c>
      <c r="BK201" s="49">
        <f t="shared" si="28"/>
        <v>0</v>
      </c>
      <c r="BL201" s="49">
        <f t="shared" si="28"/>
        <v>0</v>
      </c>
      <c r="BM201" s="49">
        <f t="shared" si="28"/>
        <v>0</v>
      </c>
      <c r="BN201" s="49">
        <f t="shared" si="28"/>
        <v>0</v>
      </c>
      <c r="BO201" s="49">
        <f aca="true" t="shared" si="29" ref="BO201:BT201">SUBTOTAL(9,BO183:BO200)</f>
        <v>1500</v>
      </c>
      <c r="BP201" s="49">
        <f t="shared" si="29"/>
        <v>1500</v>
      </c>
      <c r="BQ201" s="49">
        <f t="shared" si="29"/>
        <v>0</v>
      </c>
      <c r="BR201" s="49">
        <f t="shared" si="29"/>
        <v>0</v>
      </c>
      <c r="BS201" s="2">
        <f t="shared" si="29"/>
        <v>0</v>
      </c>
      <c r="BT201" s="2">
        <f t="shared" si="29"/>
        <v>5940</v>
      </c>
      <c r="BU201" s="50"/>
      <c r="BV201" s="34"/>
    </row>
    <row r="202" spans="1:73" ht="73.5" customHeight="1" outlineLevel="2">
      <c r="A202" s="57" t="s">
        <v>853</v>
      </c>
      <c r="B202" s="37" t="s">
        <v>854</v>
      </c>
      <c r="C202" s="39">
        <f>D202+E202</f>
        <v>5645.66206</v>
      </c>
      <c r="D202" s="1">
        <f aca="true" t="shared" si="30" ref="D202:D218">F202+J202+N202+R202+T202+Z202+AB202+AD202+AF202+AM202+AO202+AT202+AY202+BF202+BO202+BS202+H202+V202+X202+BQ202+AR202+BH202</f>
        <v>2420.2989900000002</v>
      </c>
      <c r="E202" s="1">
        <f aca="true" t="shared" si="31" ref="E202:E218">G202+I202+K202+L202+M202+O202+P202+Q202+S202+U202+W202+Y202+AA202+AC202+AE202+AG202+AH202+AK202+AL202+AN202+AP202+AQ202+AS202+AU202+AV202+AW202+AX202+AZ202+BA202+BB202+BC202+BD202+BE202+BG202+BI202+BJ202+BK202+BL202+BM202+BN202+BU202+BP202+BR202+BT202</f>
        <v>3225.3630699999994</v>
      </c>
      <c r="F202" s="40"/>
      <c r="G202" s="40"/>
      <c r="H202" s="40"/>
      <c r="I202" s="40"/>
      <c r="J202" s="41"/>
      <c r="K202" s="41"/>
      <c r="L202" s="41"/>
      <c r="M202" s="41"/>
      <c r="N202" s="41"/>
      <c r="O202" s="41"/>
      <c r="P202" s="41"/>
      <c r="Q202" s="41"/>
      <c r="R202" s="41">
        <v>78.35716</v>
      </c>
      <c r="S202" s="41">
        <v>71.86294</v>
      </c>
      <c r="T202" s="41"/>
      <c r="U202" s="41"/>
      <c r="V202" s="41"/>
      <c r="W202" s="41"/>
      <c r="X202" s="41"/>
      <c r="Y202" s="41"/>
      <c r="Z202" s="40">
        <v>57.3401</v>
      </c>
      <c r="AA202" s="40">
        <v>78.813</v>
      </c>
      <c r="AB202" s="42">
        <v>124.70059</v>
      </c>
      <c r="AC202" s="41">
        <v>46.61826</v>
      </c>
      <c r="AD202" s="41"/>
      <c r="AE202" s="41"/>
      <c r="AF202" s="41"/>
      <c r="AG202" s="41"/>
      <c r="AH202" s="43">
        <f>208.20723+261.98365</f>
        <v>470.19088</v>
      </c>
      <c r="AI202" s="41">
        <v>261.98365</v>
      </c>
      <c r="AJ202" s="40">
        <v>208.20723</v>
      </c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>
        <v>399.54525</v>
      </c>
      <c r="AZ202" s="41">
        <v>67.56672</v>
      </c>
      <c r="BA202" s="41"/>
      <c r="BB202" s="41"/>
      <c r="BC202" s="40"/>
      <c r="BD202" s="40">
        <f>1081.15368+310.57888</f>
        <v>1391.73256</v>
      </c>
      <c r="BE202" s="40"/>
      <c r="BF202" s="40">
        <v>1760.35589</v>
      </c>
      <c r="BG202" s="40">
        <v>1098.57871</v>
      </c>
      <c r="BH202" s="40"/>
      <c r="BI202" s="40"/>
      <c r="BJ202" s="40"/>
      <c r="BK202" s="40"/>
      <c r="BL202" s="40"/>
      <c r="BM202" s="40"/>
      <c r="BN202" s="40"/>
      <c r="BO202" s="41"/>
      <c r="BP202" s="41"/>
      <c r="BQ202" s="41"/>
      <c r="BR202" s="41"/>
      <c r="BS202" s="4"/>
      <c r="BT202" s="22"/>
      <c r="BU202" s="24"/>
    </row>
    <row r="203" spans="1:73" ht="73.5" customHeight="1" outlineLevel="2">
      <c r="A203" s="46" t="s">
        <v>385</v>
      </c>
      <c r="B203" s="45" t="s">
        <v>222</v>
      </c>
      <c r="C203" s="39">
        <f aca="true" t="shared" si="32" ref="C203:C218">D203+E203</f>
        <v>6192.297860000001</v>
      </c>
      <c r="D203" s="1">
        <f t="shared" si="30"/>
        <v>3325.11535</v>
      </c>
      <c r="E203" s="1">
        <f t="shared" si="31"/>
        <v>2867.18251</v>
      </c>
      <c r="F203" s="22"/>
      <c r="G203" s="22"/>
      <c r="H203" s="22"/>
      <c r="I203" s="22"/>
      <c r="J203" s="22">
        <v>479.12374</v>
      </c>
      <c r="K203" s="22">
        <v>141.24489</v>
      </c>
      <c r="L203" s="22">
        <f>72.91681+13.56994</f>
        <v>86.48675</v>
      </c>
      <c r="M203" s="22"/>
      <c r="N203" s="4"/>
      <c r="O203" s="4"/>
      <c r="P203" s="4">
        <v>379.28628</v>
      </c>
      <c r="Q203" s="4"/>
      <c r="R203" s="4"/>
      <c r="S203" s="4"/>
      <c r="T203" s="4"/>
      <c r="U203" s="4"/>
      <c r="V203" s="4"/>
      <c r="W203" s="4"/>
      <c r="X203" s="4"/>
      <c r="Y203" s="4"/>
      <c r="Z203" s="22">
        <v>123.56116</v>
      </c>
      <c r="AA203" s="4">
        <v>252.9945</v>
      </c>
      <c r="AB203" s="23">
        <v>1736.61407</v>
      </c>
      <c r="AC203" s="4">
        <v>582.7283</v>
      </c>
      <c r="AD203" s="22"/>
      <c r="AE203" s="22"/>
      <c r="AF203" s="22"/>
      <c r="AG203" s="22"/>
      <c r="AH203" s="20">
        <f>228.84075+345.8494+231.6252</f>
        <v>806.3153500000001</v>
      </c>
      <c r="AI203" s="4">
        <v>577.4746</v>
      </c>
      <c r="AJ203" s="22">
        <v>228.84075</v>
      </c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4"/>
      <c r="BA203" s="4"/>
      <c r="BB203" s="4"/>
      <c r="BC203" s="22"/>
      <c r="BD203" s="22"/>
      <c r="BE203" s="22"/>
      <c r="BF203" s="22">
        <v>985.81638</v>
      </c>
      <c r="BG203" s="22">
        <v>618.12644</v>
      </c>
      <c r="BH203" s="22"/>
      <c r="BI203" s="22"/>
      <c r="BJ203" s="22"/>
      <c r="BK203" s="22"/>
      <c r="BL203" s="22"/>
      <c r="BM203" s="22"/>
      <c r="BN203" s="22"/>
      <c r="BO203" s="4"/>
      <c r="BP203" s="4"/>
      <c r="BQ203" s="4"/>
      <c r="BR203" s="4"/>
      <c r="BS203" s="4"/>
      <c r="BT203" s="22"/>
      <c r="BU203" s="24"/>
    </row>
    <row r="204" spans="1:73" ht="73.5" customHeight="1" outlineLevel="2">
      <c r="A204" s="44" t="s">
        <v>385</v>
      </c>
      <c r="B204" s="45" t="s">
        <v>317</v>
      </c>
      <c r="C204" s="39">
        <f t="shared" si="32"/>
        <v>308.75057000000004</v>
      </c>
      <c r="D204" s="1">
        <f t="shared" si="30"/>
        <v>238.71712000000002</v>
      </c>
      <c r="E204" s="1">
        <f t="shared" si="31"/>
        <v>70.03345</v>
      </c>
      <c r="F204" s="22"/>
      <c r="G204" s="22"/>
      <c r="H204" s="22"/>
      <c r="I204" s="22"/>
      <c r="J204" s="22">
        <v>211.02957</v>
      </c>
      <c r="K204" s="22">
        <v>39.04612</v>
      </c>
      <c r="L204" s="22"/>
      <c r="M204" s="22"/>
      <c r="N204" s="4"/>
      <c r="O204" s="4"/>
      <c r="P204" s="4"/>
      <c r="Q204" s="4"/>
      <c r="R204" s="4">
        <v>27.68755</v>
      </c>
      <c r="S204" s="4">
        <v>30.98733</v>
      </c>
      <c r="T204" s="4"/>
      <c r="U204" s="4"/>
      <c r="V204" s="4"/>
      <c r="W204" s="4"/>
      <c r="X204" s="4"/>
      <c r="Y204" s="4"/>
      <c r="Z204" s="22"/>
      <c r="AA204" s="22"/>
      <c r="AB204" s="23"/>
      <c r="AC204" s="4"/>
      <c r="AD204" s="22"/>
      <c r="AE204" s="22"/>
      <c r="AF204" s="22"/>
      <c r="AG204" s="22"/>
      <c r="AH204" s="20"/>
      <c r="AI204" s="4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4"/>
      <c r="BA204" s="4"/>
      <c r="BB204" s="4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4"/>
      <c r="BP204" s="4"/>
      <c r="BQ204" s="4"/>
      <c r="BR204" s="4"/>
      <c r="BS204" s="4"/>
      <c r="BT204" s="22"/>
      <c r="BU204" s="24"/>
    </row>
    <row r="205" spans="1:73" ht="73.5" customHeight="1" outlineLevel="2">
      <c r="A205" s="44" t="s">
        <v>385</v>
      </c>
      <c r="B205" s="45" t="s">
        <v>26</v>
      </c>
      <c r="C205" s="39">
        <f t="shared" si="32"/>
        <v>826.3350499999999</v>
      </c>
      <c r="D205" s="1">
        <f t="shared" si="30"/>
        <v>209.91037</v>
      </c>
      <c r="E205" s="1">
        <f t="shared" si="31"/>
        <v>616.42468</v>
      </c>
      <c r="F205" s="22"/>
      <c r="G205" s="22"/>
      <c r="H205" s="22"/>
      <c r="I205" s="22"/>
      <c r="J205" s="22"/>
      <c r="K205" s="22"/>
      <c r="L205" s="22"/>
      <c r="M205" s="2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22"/>
      <c r="AA205" s="22"/>
      <c r="AB205" s="23">
        <v>83.96551</v>
      </c>
      <c r="AC205" s="4">
        <v>47.78372</v>
      </c>
      <c r="AD205" s="22"/>
      <c r="AE205" s="22"/>
      <c r="AF205" s="22"/>
      <c r="AG205" s="22"/>
      <c r="AH205" s="20">
        <f>28.9062+33.7272</f>
        <v>62.6334</v>
      </c>
      <c r="AI205" s="4">
        <v>33.7272</v>
      </c>
      <c r="AJ205" s="22">
        <v>28.9062</v>
      </c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4"/>
      <c r="BA205" s="4"/>
      <c r="BB205" s="4"/>
      <c r="BC205" s="22"/>
      <c r="BD205" s="22"/>
      <c r="BE205" s="22">
        <v>427.31821</v>
      </c>
      <c r="BF205" s="22">
        <v>125.94486</v>
      </c>
      <c r="BG205" s="22">
        <v>78.68935</v>
      </c>
      <c r="BH205" s="22"/>
      <c r="BI205" s="22"/>
      <c r="BJ205" s="22"/>
      <c r="BK205" s="22"/>
      <c r="BL205" s="22"/>
      <c r="BM205" s="22"/>
      <c r="BN205" s="22"/>
      <c r="BO205" s="4"/>
      <c r="BP205" s="4"/>
      <c r="BQ205" s="4"/>
      <c r="BR205" s="4"/>
      <c r="BS205" s="4"/>
      <c r="BT205" s="22"/>
      <c r="BU205" s="24"/>
    </row>
    <row r="206" spans="1:73" ht="73.5" customHeight="1" outlineLevel="2">
      <c r="A206" s="44" t="s">
        <v>385</v>
      </c>
      <c r="B206" s="45" t="s">
        <v>409</v>
      </c>
      <c r="C206" s="39">
        <f t="shared" si="32"/>
        <v>2074.15611</v>
      </c>
      <c r="D206" s="1">
        <f t="shared" si="30"/>
        <v>573.99557</v>
      </c>
      <c r="E206" s="1">
        <f t="shared" si="31"/>
        <v>1500.1605399999999</v>
      </c>
      <c r="F206" s="22"/>
      <c r="G206" s="22"/>
      <c r="H206" s="22"/>
      <c r="I206" s="22"/>
      <c r="J206" s="22"/>
      <c r="K206" s="22"/>
      <c r="L206" s="22"/>
      <c r="M206" s="22"/>
      <c r="N206" s="4"/>
      <c r="O206" s="4"/>
      <c r="P206" s="4"/>
      <c r="Q206" s="4"/>
      <c r="R206" s="4">
        <v>87.71905</v>
      </c>
      <c r="S206" s="4">
        <v>51.938</v>
      </c>
      <c r="T206" s="4"/>
      <c r="U206" s="4"/>
      <c r="V206" s="4"/>
      <c r="W206" s="4"/>
      <c r="X206" s="4"/>
      <c r="Y206" s="4"/>
      <c r="Z206" s="22">
        <v>57.9193</v>
      </c>
      <c r="AA206" s="22">
        <v>298.51614</v>
      </c>
      <c r="AB206" s="23">
        <v>278.83579</v>
      </c>
      <c r="AC206" s="4">
        <v>51.28009</v>
      </c>
      <c r="AD206" s="22"/>
      <c r="AE206" s="22"/>
      <c r="AF206" s="22"/>
      <c r="AG206" s="22"/>
      <c r="AH206" s="20"/>
      <c r="AI206" s="4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4"/>
      <c r="BA206" s="4"/>
      <c r="BB206" s="4"/>
      <c r="BC206" s="22"/>
      <c r="BD206" s="22">
        <v>650.94368</v>
      </c>
      <c r="BE206" s="22"/>
      <c r="BF206" s="22">
        <v>149.52143</v>
      </c>
      <c r="BG206" s="22">
        <v>35.32095</v>
      </c>
      <c r="BH206" s="22"/>
      <c r="BI206" s="22">
        <v>68.49018</v>
      </c>
      <c r="BJ206" s="22">
        <v>343.6715</v>
      </c>
      <c r="BK206" s="22"/>
      <c r="BL206" s="22"/>
      <c r="BM206" s="22"/>
      <c r="BN206" s="22"/>
      <c r="BO206" s="4"/>
      <c r="BP206" s="4"/>
      <c r="BQ206" s="4"/>
      <c r="BR206" s="4"/>
      <c r="BS206" s="4"/>
      <c r="BT206" s="22"/>
      <c r="BU206" s="24"/>
    </row>
    <row r="207" spans="1:73" ht="73.5" customHeight="1" outlineLevel="2">
      <c r="A207" s="44" t="s">
        <v>385</v>
      </c>
      <c r="B207" s="45" t="s">
        <v>415</v>
      </c>
      <c r="C207" s="39">
        <f t="shared" si="32"/>
        <v>170.8838</v>
      </c>
      <c r="D207" s="1">
        <f t="shared" si="30"/>
        <v>91.33426</v>
      </c>
      <c r="E207" s="1">
        <f t="shared" si="31"/>
        <v>79.54954000000001</v>
      </c>
      <c r="F207" s="22"/>
      <c r="G207" s="22"/>
      <c r="H207" s="22"/>
      <c r="I207" s="22"/>
      <c r="J207" s="22"/>
      <c r="K207" s="22"/>
      <c r="L207" s="22"/>
      <c r="M207" s="2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22">
        <v>3.47516</v>
      </c>
      <c r="AA207" s="22">
        <v>4.779</v>
      </c>
      <c r="AB207" s="23">
        <v>31.17515</v>
      </c>
      <c r="AC207" s="4">
        <v>11.65457</v>
      </c>
      <c r="AD207" s="22"/>
      <c r="AE207" s="22"/>
      <c r="AF207" s="22"/>
      <c r="AG207" s="22"/>
      <c r="AH207" s="20">
        <f>10.81596+16.8636</f>
        <v>27.679560000000002</v>
      </c>
      <c r="AI207" s="4">
        <v>16.8636</v>
      </c>
      <c r="AJ207" s="22">
        <v>10.81596</v>
      </c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4"/>
      <c r="BA207" s="4"/>
      <c r="BB207" s="4"/>
      <c r="BC207" s="22"/>
      <c r="BD207" s="22"/>
      <c r="BE207" s="22"/>
      <c r="BF207" s="22">
        <v>56.68395</v>
      </c>
      <c r="BG207" s="22">
        <v>35.43641</v>
      </c>
      <c r="BH207" s="22"/>
      <c r="BI207" s="22"/>
      <c r="BJ207" s="22"/>
      <c r="BK207" s="22"/>
      <c r="BL207" s="22"/>
      <c r="BM207" s="22"/>
      <c r="BN207" s="22"/>
      <c r="BO207" s="4"/>
      <c r="BP207" s="4"/>
      <c r="BQ207" s="4"/>
      <c r="BR207" s="4"/>
      <c r="BS207" s="4"/>
      <c r="BT207" s="22"/>
      <c r="BU207" s="24"/>
    </row>
    <row r="208" spans="1:73" ht="73.5" customHeight="1" outlineLevel="2">
      <c r="A208" s="46" t="s">
        <v>385</v>
      </c>
      <c r="B208" s="45" t="s">
        <v>464</v>
      </c>
      <c r="C208" s="39">
        <f t="shared" si="32"/>
        <v>568.71875</v>
      </c>
      <c r="D208" s="1">
        <f t="shared" si="30"/>
        <v>349.92897</v>
      </c>
      <c r="E208" s="1">
        <f t="shared" si="31"/>
        <v>218.78978</v>
      </c>
      <c r="F208" s="22"/>
      <c r="G208" s="22"/>
      <c r="H208" s="22"/>
      <c r="I208" s="22"/>
      <c r="J208" s="22"/>
      <c r="K208" s="22"/>
      <c r="L208" s="22"/>
      <c r="M208" s="2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22"/>
      <c r="AA208" s="22"/>
      <c r="AB208" s="23"/>
      <c r="AC208" s="4"/>
      <c r="AD208" s="22"/>
      <c r="AE208" s="22"/>
      <c r="AF208" s="22"/>
      <c r="AG208" s="22"/>
      <c r="AH208" s="20"/>
      <c r="AI208" s="4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4"/>
      <c r="BA208" s="4"/>
      <c r="BB208" s="4"/>
      <c r="BC208" s="22"/>
      <c r="BD208" s="22"/>
      <c r="BE208" s="22"/>
      <c r="BF208" s="22">
        <v>349.92897</v>
      </c>
      <c r="BG208" s="22">
        <v>218.78978</v>
      </c>
      <c r="BH208" s="22"/>
      <c r="BI208" s="22"/>
      <c r="BJ208" s="22"/>
      <c r="BK208" s="22"/>
      <c r="BL208" s="22"/>
      <c r="BM208" s="22"/>
      <c r="BN208" s="22"/>
      <c r="BO208" s="4"/>
      <c r="BP208" s="4"/>
      <c r="BQ208" s="4"/>
      <c r="BR208" s="4"/>
      <c r="BS208" s="4"/>
      <c r="BT208" s="22"/>
      <c r="BU208" s="24"/>
    </row>
    <row r="209" spans="1:73" ht="73.5" customHeight="1" outlineLevel="2">
      <c r="A209" s="44" t="s">
        <v>385</v>
      </c>
      <c r="B209" s="45" t="s">
        <v>664</v>
      </c>
      <c r="C209" s="39">
        <f t="shared" si="32"/>
        <v>78.11174</v>
      </c>
      <c r="D209" s="1">
        <f t="shared" si="30"/>
        <v>48.0286</v>
      </c>
      <c r="E209" s="1">
        <f t="shared" si="31"/>
        <v>30.08314</v>
      </c>
      <c r="F209" s="22"/>
      <c r="G209" s="22"/>
      <c r="H209" s="22"/>
      <c r="I209" s="22"/>
      <c r="J209" s="22"/>
      <c r="K209" s="22"/>
      <c r="L209" s="22"/>
      <c r="M209" s="2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22"/>
      <c r="AA209" s="22"/>
      <c r="AB209" s="23"/>
      <c r="AC209" s="4"/>
      <c r="AD209" s="22"/>
      <c r="AE209" s="22"/>
      <c r="AF209" s="22"/>
      <c r="AG209" s="22"/>
      <c r="AH209" s="20"/>
      <c r="AI209" s="4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4"/>
      <c r="BA209" s="4"/>
      <c r="BB209" s="4"/>
      <c r="BC209" s="22"/>
      <c r="BD209" s="22"/>
      <c r="BE209" s="22"/>
      <c r="BF209" s="22">
        <v>48.0286</v>
      </c>
      <c r="BG209" s="22">
        <v>30.08314</v>
      </c>
      <c r="BH209" s="22"/>
      <c r="BI209" s="22"/>
      <c r="BJ209" s="22"/>
      <c r="BK209" s="22"/>
      <c r="BL209" s="22"/>
      <c r="BM209" s="22"/>
      <c r="BN209" s="22"/>
      <c r="BO209" s="4"/>
      <c r="BP209" s="4"/>
      <c r="BQ209" s="4"/>
      <c r="BR209" s="4"/>
      <c r="BS209" s="4"/>
      <c r="BT209" s="22"/>
      <c r="BU209" s="24"/>
    </row>
    <row r="210" spans="1:73" ht="73.5" customHeight="1" outlineLevel="2">
      <c r="A210" s="44" t="s">
        <v>385</v>
      </c>
      <c r="B210" s="26" t="s">
        <v>665</v>
      </c>
      <c r="C210" s="39">
        <f t="shared" si="32"/>
        <v>1970.94217</v>
      </c>
      <c r="D210" s="1">
        <f t="shared" si="30"/>
        <v>1093.2837</v>
      </c>
      <c r="E210" s="1">
        <f t="shared" si="31"/>
        <v>877.6584700000001</v>
      </c>
      <c r="F210" s="22"/>
      <c r="G210" s="22"/>
      <c r="H210" s="22"/>
      <c r="I210" s="22"/>
      <c r="J210" s="22"/>
      <c r="K210" s="22"/>
      <c r="L210" s="22"/>
      <c r="M210" s="2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22"/>
      <c r="AA210" s="22"/>
      <c r="AB210" s="23">
        <v>459.0448</v>
      </c>
      <c r="AC210" s="4">
        <v>221.43675</v>
      </c>
      <c r="AD210" s="22"/>
      <c r="AE210" s="22"/>
      <c r="AF210" s="22"/>
      <c r="AG210" s="22"/>
      <c r="AH210" s="20">
        <f>121.67955+137.9253</f>
        <v>259.60485</v>
      </c>
      <c r="AI210" s="4">
        <v>137.9253</v>
      </c>
      <c r="AJ210" s="22">
        <v>121.67955</v>
      </c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4"/>
      <c r="BA210" s="4"/>
      <c r="BB210" s="4"/>
      <c r="BC210" s="22"/>
      <c r="BD210" s="22"/>
      <c r="BE210" s="22"/>
      <c r="BF210" s="22">
        <v>634.2389</v>
      </c>
      <c r="BG210" s="22">
        <v>396.61687</v>
      </c>
      <c r="BH210" s="22"/>
      <c r="BI210" s="22"/>
      <c r="BJ210" s="22"/>
      <c r="BK210" s="22"/>
      <c r="BL210" s="22"/>
      <c r="BM210" s="22"/>
      <c r="BN210" s="22"/>
      <c r="BO210" s="4"/>
      <c r="BP210" s="4"/>
      <c r="BQ210" s="4"/>
      <c r="BR210" s="4"/>
      <c r="BS210" s="4"/>
      <c r="BT210" s="22"/>
      <c r="BU210" s="24"/>
    </row>
    <row r="211" spans="1:73" ht="73.5" customHeight="1" outlineLevel="2">
      <c r="A211" s="44" t="s">
        <v>385</v>
      </c>
      <c r="B211" s="45" t="s">
        <v>163</v>
      </c>
      <c r="C211" s="39">
        <f t="shared" si="32"/>
        <v>162.10482</v>
      </c>
      <c r="D211" s="1">
        <f t="shared" si="30"/>
        <v>90.10606999999999</v>
      </c>
      <c r="E211" s="1">
        <f t="shared" si="31"/>
        <v>71.99875</v>
      </c>
      <c r="F211" s="22"/>
      <c r="G211" s="22"/>
      <c r="H211" s="22"/>
      <c r="I211" s="22"/>
      <c r="J211" s="22"/>
      <c r="K211" s="22"/>
      <c r="L211" s="22"/>
      <c r="M211" s="2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22"/>
      <c r="AA211" s="22"/>
      <c r="AB211" s="23">
        <v>51.14673</v>
      </c>
      <c r="AC211" s="4">
        <v>23.30913</v>
      </c>
      <c r="AD211" s="22"/>
      <c r="AE211" s="22"/>
      <c r="AF211" s="22"/>
      <c r="AG211" s="22"/>
      <c r="AH211" s="20"/>
      <c r="AI211" s="4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>
        <v>27.53814</v>
      </c>
      <c r="AZ211" s="4">
        <v>41.51235</v>
      </c>
      <c r="BA211" s="4"/>
      <c r="BB211" s="4"/>
      <c r="BC211" s="22"/>
      <c r="BD211" s="22"/>
      <c r="BE211" s="22"/>
      <c r="BF211" s="22">
        <v>11.4212</v>
      </c>
      <c r="BG211" s="22">
        <v>7.17727</v>
      </c>
      <c r="BH211" s="22"/>
      <c r="BI211" s="22"/>
      <c r="BJ211" s="22"/>
      <c r="BK211" s="22"/>
      <c r="BL211" s="22"/>
      <c r="BM211" s="22"/>
      <c r="BN211" s="22"/>
      <c r="BO211" s="4"/>
      <c r="BP211" s="4"/>
      <c r="BQ211" s="4"/>
      <c r="BR211" s="4"/>
      <c r="BS211" s="4"/>
      <c r="BT211" s="22"/>
      <c r="BU211" s="24"/>
    </row>
    <row r="212" spans="1:73" ht="73.5" customHeight="1" outlineLevel="2">
      <c r="A212" s="44" t="s">
        <v>385</v>
      </c>
      <c r="B212" s="45" t="s">
        <v>517</v>
      </c>
      <c r="C212" s="39">
        <f t="shared" si="32"/>
        <v>11.284859999999998</v>
      </c>
      <c r="D212" s="1">
        <f t="shared" si="30"/>
        <v>2.8891</v>
      </c>
      <c r="E212" s="1">
        <f t="shared" si="31"/>
        <v>8.39576</v>
      </c>
      <c r="F212" s="22"/>
      <c r="G212" s="22"/>
      <c r="H212" s="22"/>
      <c r="I212" s="22"/>
      <c r="J212" s="22"/>
      <c r="K212" s="22"/>
      <c r="L212" s="22"/>
      <c r="M212" s="2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22"/>
      <c r="AA212" s="22"/>
      <c r="AB212" s="23"/>
      <c r="AC212" s="4"/>
      <c r="AD212" s="22"/>
      <c r="AE212" s="22"/>
      <c r="AF212" s="22"/>
      <c r="AG212" s="22"/>
      <c r="AH212" s="20"/>
      <c r="AI212" s="4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>
        <v>2.8891</v>
      </c>
      <c r="AZ212" s="4">
        <v>8.39576</v>
      </c>
      <c r="BA212" s="4"/>
      <c r="BB212" s="4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4"/>
      <c r="BP212" s="4"/>
      <c r="BQ212" s="4"/>
      <c r="BR212" s="4"/>
      <c r="BS212" s="4"/>
      <c r="BT212" s="22"/>
      <c r="BU212" s="24"/>
    </row>
    <row r="213" spans="1:73" ht="73.5" customHeight="1" outlineLevel="2">
      <c r="A213" s="44" t="s">
        <v>385</v>
      </c>
      <c r="B213" s="45" t="s">
        <v>668</v>
      </c>
      <c r="C213" s="39">
        <f t="shared" si="32"/>
        <v>49.16882</v>
      </c>
      <c r="D213" s="1">
        <f t="shared" si="30"/>
        <v>18.09693</v>
      </c>
      <c r="E213" s="1">
        <f t="shared" si="31"/>
        <v>31.07189</v>
      </c>
      <c r="F213" s="22"/>
      <c r="G213" s="22"/>
      <c r="H213" s="22"/>
      <c r="I213" s="22"/>
      <c r="J213" s="22"/>
      <c r="K213" s="22"/>
      <c r="L213" s="22"/>
      <c r="M213" s="2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22"/>
      <c r="AA213" s="22"/>
      <c r="AB213" s="23"/>
      <c r="AC213" s="4"/>
      <c r="AD213" s="22"/>
      <c r="AE213" s="22"/>
      <c r="AF213" s="22"/>
      <c r="AG213" s="22"/>
      <c r="AH213" s="20"/>
      <c r="AI213" s="4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>
        <v>18.09693</v>
      </c>
      <c r="AZ213" s="4">
        <v>31.07189</v>
      </c>
      <c r="BA213" s="4"/>
      <c r="BB213" s="4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4"/>
      <c r="BP213" s="4"/>
      <c r="BQ213" s="4"/>
      <c r="BR213" s="4"/>
      <c r="BS213" s="4"/>
      <c r="BT213" s="22"/>
      <c r="BU213" s="24"/>
    </row>
    <row r="214" spans="1:73" ht="73.5" customHeight="1" outlineLevel="2">
      <c r="A214" s="44" t="s">
        <v>385</v>
      </c>
      <c r="B214" s="45" t="s">
        <v>666</v>
      </c>
      <c r="C214" s="39">
        <f t="shared" si="32"/>
        <v>3864.01568</v>
      </c>
      <c r="D214" s="1">
        <f t="shared" si="30"/>
        <v>1642.05008</v>
      </c>
      <c r="E214" s="1">
        <f t="shared" si="31"/>
        <v>2221.9656</v>
      </c>
      <c r="F214" s="22"/>
      <c r="G214" s="22"/>
      <c r="H214" s="22"/>
      <c r="I214" s="22"/>
      <c r="J214" s="22"/>
      <c r="K214" s="22"/>
      <c r="L214" s="22"/>
      <c r="M214" s="2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22"/>
      <c r="AA214" s="22">
        <v>48.438</v>
      </c>
      <c r="AB214" s="23">
        <v>567.32924</v>
      </c>
      <c r="AC214" s="4">
        <v>256.40045</v>
      </c>
      <c r="AD214" s="22"/>
      <c r="AE214" s="22"/>
      <c r="AF214" s="22"/>
      <c r="AG214" s="22"/>
      <c r="AH214" s="20">
        <f>178.2549+319.2456+168.28375</f>
        <v>665.7842499999999</v>
      </c>
      <c r="AI214" s="4">
        <v>487.52935</v>
      </c>
      <c r="AJ214" s="22">
        <v>178.2549</v>
      </c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4"/>
      <c r="BA214" s="4"/>
      <c r="BB214" s="4"/>
      <c r="BC214" s="22"/>
      <c r="BD214" s="22"/>
      <c r="BE214" s="22">
        <v>579.83548</v>
      </c>
      <c r="BF214" s="22">
        <v>1074.72084</v>
      </c>
      <c r="BG214" s="22">
        <v>671.50742</v>
      </c>
      <c r="BH214" s="22"/>
      <c r="BI214" s="22"/>
      <c r="BJ214" s="22"/>
      <c r="BK214" s="22"/>
      <c r="BL214" s="22"/>
      <c r="BM214" s="22"/>
      <c r="BN214" s="22"/>
      <c r="BO214" s="4"/>
      <c r="BP214" s="4"/>
      <c r="BQ214" s="4"/>
      <c r="BR214" s="4"/>
      <c r="BS214" s="4"/>
      <c r="BT214" s="22"/>
      <c r="BU214" s="24"/>
    </row>
    <row r="215" spans="1:73" ht="73.5" customHeight="1" outlineLevel="2">
      <c r="A215" s="44" t="s">
        <v>385</v>
      </c>
      <c r="B215" s="45" t="s">
        <v>667</v>
      </c>
      <c r="C215" s="39">
        <f t="shared" si="32"/>
        <v>21.157220000000002</v>
      </c>
      <c r="D215" s="1">
        <f t="shared" si="30"/>
        <v>13.01382</v>
      </c>
      <c r="E215" s="1">
        <f t="shared" si="31"/>
        <v>8.1434</v>
      </c>
      <c r="F215" s="22"/>
      <c r="G215" s="22"/>
      <c r="H215" s="22"/>
      <c r="I215" s="22"/>
      <c r="J215" s="22"/>
      <c r="K215" s="22"/>
      <c r="L215" s="22"/>
      <c r="M215" s="2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22"/>
      <c r="AA215" s="22"/>
      <c r="AB215" s="23"/>
      <c r="AC215" s="4"/>
      <c r="AD215" s="22"/>
      <c r="AE215" s="22"/>
      <c r="AF215" s="22"/>
      <c r="AG215" s="22"/>
      <c r="AH215" s="20"/>
      <c r="AI215" s="4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4"/>
      <c r="BA215" s="4"/>
      <c r="BB215" s="4"/>
      <c r="BC215" s="22"/>
      <c r="BD215" s="22"/>
      <c r="BE215" s="22"/>
      <c r="BF215" s="22">
        <v>13.01382</v>
      </c>
      <c r="BG215" s="22">
        <v>8.1434</v>
      </c>
      <c r="BH215" s="22"/>
      <c r="BI215" s="22"/>
      <c r="BJ215" s="22"/>
      <c r="BK215" s="22"/>
      <c r="BL215" s="22"/>
      <c r="BM215" s="22"/>
      <c r="BN215" s="22"/>
      <c r="BO215" s="4"/>
      <c r="BP215" s="4"/>
      <c r="BQ215" s="4"/>
      <c r="BR215" s="4"/>
      <c r="BS215" s="4"/>
      <c r="BT215" s="22"/>
      <c r="BU215" s="24"/>
    </row>
    <row r="216" spans="1:73" ht="73.5" customHeight="1" outlineLevel="2">
      <c r="A216" s="44" t="s">
        <v>385</v>
      </c>
      <c r="B216" s="45" t="s">
        <v>136</v>
      </c>
      <c r="C216" s="39">
        <f t="shared" si="32"/>
        <v>857.2864999999999</v>
      </c>
      <c r="D216" s="1">
        <f t="shared" si="30"/>
        <v>402.91832999999997</v>
      </c>
      <c r="E216" s="1">
        <f t="shared" si="31"/>
        <v>454.36816999999996</v>
      </c>
      <c r="F216" s="22"/>
      <c r="G216" s="22"/>
      <c r="H216" s="22"/>
      <c r="I216" s="22"/>
      <c r="J216" s="22"/>
      <c r="K216" s="22"/>
      <c r="L216" s="22"/>
      <c r="M216" s="2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22"/>
      <c r="AA216" s="22"/>
      <c r="AB216" s="23">
        <v>192.99365</v>
      </c>
      <c r="AC216" s="4">
        <v>81.58196</v>
      </c>
      <c r="AD216" s="22"/>
      <c r="AE216" s="22"/>
      <c r="AF216" s="22"/>
      <c r="AG216" s="22"/>
      <c r="AH216" s="20">
        <f>42.36251+73.0756</f>
        <v>115.43811</v>
      </c>
      <c r="AI216" s="4">
        <v>73.0756</v>
      </c>
      <c r="AJ216" s="22">
        <v>42.36251</v>
      </c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4"/>
      <c r="BA216" s="4"/>
      <c r="BB216" s="4"/>
      <c r="BC216" s="22"/>
      <c r="BD216" s="22"/>
      <c r="BE216" s="22">
        <v>126</v>
      </c>
      <c r="BF216" s="22">
        <v>209.92468</v>
      </c>
      <c r="BG216" s="22">
        <v>131.3481</v>
      </c>
      <c r="BH216" s="22"/>
      <c r="BI216" s="22"/>
      <c r="BJ216" s="22"/>
      <c r="BK216" s="22"/>
      <c r="BL216" s="22"/>
      <c r="BM216" s="22"/>
      <c r="BN216" s="22"/>
      <c r="BO216" s="4"/>
      <c r="BP216" s="4"/>
      <c r="BQ216" s="4"/>
      <c r="BR216" s="4"/>
      <c r="BS216" s="4"/>
      <c r="BT216" s="22"/>
      <c r="BU216" s="24"/>
    </row>
    <row r="217" spans="1:73" ht="73.5" customHeight="1" outlineLevel="2">
      <c r="A217" s="44" t="s">
        <v>385</v>
      </c>
      <c r="B217" s="45" t="s">
        <v>129</v>
      </c>
      <c r="C217" s="39">
        <f t="shared" si="32"/>
        <v>17.24237</v>
      </c>
      <c r="D217" s="1">
        <f t="shared" si="30"/>
        <v>0</v>
      </c>
      <c r="E217" s="1">
        <f t="shared" si="31"/>
        <v>17.24237</v>
      </c>
      <c r="F217" s="22"/>
      <c r="G217" s="22"/>
      <c r="H217" s="22"/>
      <c r="I217" s="22"/>
      <c r="J217" s="22"/>
      <c r="K217" s="22"/>
      <c r="L217" s="22"/>
      <c r="M217" s="2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22"/>
      <c r="AA217" s="22"/>
      <c r="AB217" s="23"/>
      <c r="AC217" s="4"/>
      <c r="AD217" s="22"/>
      <c r="AE217" s="22"/>
      <c r="AF217" s="22"/>
      <c r="AG217" s="22"/>
      <c r="AH217" s="20"/>
      <c r="AI217" s="4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4">
        <v>17.24237</v>
      </c>
      <c r="BA217" s="4"/>
      <c r="BB217" s="4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4"/>
      <c r="BP217" s="4"/>
      <c r="BQ217" s="4"/>
      <c r="BR217" s="4"/>
      <c r="BS217" s="4"/>
      <c r="BT217" s="22"/>
      <c r="BU217" s="24"/>
    </row>
    <row r="218" spans="1:73" ht="73.5" customHeight="1" outlineLevel="2" thickBot="1">
      <c r="A218" s="44" t="s">
        <v>385</v>
      </c>
      <c r="B218" s="45" t="s">
        <v>829</v>
      </c>
      <c r="C218" s="39">
        <f t="shared" si="32"/>
        <v>3007.3137</v>
      </c>
      <c r="D218" s="1">
        <f t="shared" si="30"/>
        <v>0</v>
      </c>
      <c r="E218" s="1">
        <f t="shared" si="31"/>
        <v>3007.3137</v>
      </c>
      <c r="F218" s="22"/>
      <c r="G218" s="22"/>
      <c r="H218" s="22"/>
      <c r="I218" s="22"/>
      <c r="J218" s="22"/>
      <c r="K218" s="22"/>
      <c r="L218" s="22"/>
      <c r="M218" s="2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22"/>
      <c r="AA218" s="22"/>
      <c r="AB218" s="23"/>
      <c r="AC218" s="4"/>
      <c r="AD218" s="22"/>
      <c r="AE218" s="22"/>
      <c r="AF218" s="22"/>
      <c r="AG218" s="22"/>
      <c r="AH218" s="20"/>
      <c r="AI218" s="4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4">
        <v>7.3137</v>
      </c>
      <c r="BA218" s="4"/>
      <c r="BB218" s="4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4"/>
      <c r="BP218" s="4">
        <v>3000</v>
      </c>
      <c r="BQ218" s="4"/>
      <c r="BR218" s="4"/>
      <c r="BS218" s="4"/>
      <c r="BT218" s="22"/>
      <c r="BU218" s="24"/>
    </row>
    <row r="219" spans="1:74" s="35" customFormat="1" ht="73.5" customHeight="1" outlineLevel="1" thickBot="1">
      <c r="A219" s="29" t="s">
        <v>19</v>
      </c>
      <c r="B219" s="48"/>
      <c r="C219" s="32">
        <f aca="true" t="shared" si="33" ref="C219:BN219">SUBTOTAL(9,C202:C218)</f>
        <v>25825.43208</v>
      </c>
      <c r="D219" s="32">
        <f t="shared" si="33"/>
        <v>10519.687259999999</v>
      </c>
      <c r="E219" s="32">
        <f t="shared" si="33"/>
        <v>15305.74482</v>
      </c>
      <c r="F219" s="31">
        <f t="shared" si="33"/>
        <v>0</v>
      </c>
      <c r="G219" s="31">
        <f t="shared" si="33"/>
        <v>0</v>
      </c>
      <c r="H219" s="31">
        <f t="shared" si="33"/>
        <v>0</v>
      </c>
      <c r="I219" s="31">
        <f t="shared" si="33"/>
        <v>0</v>
      </c>
      <c r="J219" s="31">
        <f t="shared" si="33"/>
        <v>690.15331</v>
      </c>
      <c r="K219" s="31">
        <f t="shared" si="33"/>
        <v>180.29101</v>
      </c>
      <c r="L219" s="31">
        <f t="shared" si="33"/>
        <v>86.48675</v>
      </c>
      <c r="M219" s="31">
        <f t="shared" si="33"/>
        <v>0</v>
      </c>
      <c r="N219" s="31">
        <f t="shared" si="33"/>
        <v>0</v>
      </c>
      <c r="O219" s="31">
        <f t="shared" si="33"/>
        <v>0</v>
      </c>
      <c r="P219" s="31">
        <f t="shared" si="33"/>
        <v>379.28628</v>
      </c>
      <c r="Q219" s="31">
        <f t="shared" si="33"/>
        <v>0</v>
      </c>
      <c r="R219" s="31">
        <f t="shared" si="33"/>
        <v>193.76376</v>
      </c>
      <c r="S219" s="31">
        <f t="shared" si="33"/>
        <v>154.78827</v>
      </c>
      <c r="T219" s="31">
        <f t="shared" si="33"/>
        <v>0</v>
      </c>
      <c r="U219" s="31">
        <f t="shared" si="33"/>
        <v>0</v>
      </c>
      <c r="V219" s="31">
        <f t="shared" si="33"/>
        <v>0</v>
      </c>
      <c r="W219" s="31">
        <f t="shared" si="33"/>
        <v>0</v>
      </c>
      <c r="X219" s="31">
        <f t="shared" si="33"/>
        <v>0</v>
      </c>
      <c r="Y219" s="31">
        <f t="shared" si="33"/>
        <v>0</v>
      </c>
      <c r="Z219" s="31">
        <f t="shared" si="33"/>
        <v>242.29572</v>
      </c>
      <c r="AA219" s="31">
        <f t="shared" si="33"/>
        <v>683.54064</v>
      </c>
      <c r="AB219" s="31">
        <f t="shared" si="33"/>
        <v>3525.80553</v>
      </c>
      <c r="AC219" s="31">
        <f t="shared" si="33"/>
        <v>1322.7932299999998</v>
      </c>
      <c r="AD219" s="31">
        <f t="shared" si="33"/>
        <v>0</v>
      </c>
      <c r="AE219" s="31">
        <f t="shared" si="33"/>
        <v>0</v>
      </c>
      <c r="AF219" s="31">
        <f t="shared" si="33"/>
        <v>0</v>
      </c>
      <c r="AG219" s="31">
        <f t="shared" si="33"/>
        <v>0</v>
      </c>
      <c r="AH219" s="31">
        <f t="shared" si="33"/>
        <v>2407.6463999999996</v>
      </c>
      <c r="AI219" s="31">
        <f t="shared" si="33"/>
        <v>1588.5792999999999</v>
      </c>
      <c r="AJ219" s="31">
        <f t="shared" si="33"/>
        <v>819.0671000000002</v>
      </c>
      <c r="AK219" s="31">
        <f t="shared" si="33"/>
        <v>0</v>
      </c>
      <c r="AL219" s="31">
        <f t="shared" si="33"/>
        <v>0</v>
      </c>
      <c r="AM219" s="31">
        <f t="shared" si="33"/>
        <v>0</v>
      </c>
      <c r="AN219" s="31">
        <f t="shared" si="33"/>
        <v>0</v>
      </c>
      <c r="AO219" s="31">
        <f t="shared" si="33"/>
        <v>0</v>
      </c>
      <c r="AP219" s="31">
        <f t="shared" si="33"/>
        <v>0</v>
      </c>
      <c r="AQ219" s="31">
        <f t="shared" si="33"/>
        <v>0</v>
      </c>
      <c r="AR219" s="31">
        <f t="shared" si="33"/>
        <v>0</v>
      </c>
      <c r="AS219" s="31">
        <f t="shared" si="33"/>
        <v>0</v>
      </c>
      <c r="AT219" s="31">
        <f t="shared" si="33"/>
        <v>0</v>
      </c>
      <c r="AU219" s="31">
        <f t="shared" si="33"/>
        <v>0</v>
      </c>
      <c r="AV219" s="31">
        <f t="shared" si="33"/>
        <v>0</v>
      </c>
      <c r="AW219" s="31">
        <f t="shared" si="33"/>
        <v>0</v>
      </c>
      <c r="AX219" s="31">
        <f t="shared" si="33"/>
        <v>0</v>
      </c>
      <c r="AY219" s="31">
        <f t="shared" si="33"/>
        <v>448.06942</v>
      </c>
      <c r="AZ219" s="31">
        <f t="shared" si="33"/>
        <v>173.10279</v>
      </c>
      <c r="BA219" s="31">
        <f t="shared" si="33"/>
        <v>0</v>
      </c>
      <c r="BB219" s="31">
        <f t="shared" si="33"/>
        <v>0</v>
      </c>
      <c r="BC219" s="31">
        <f t="shared" si="33"/>
        <v>0</v>
      </c>
      <c r="BD219" s="31">
        <f t="shared" si="33"/>
        <v>2042.6762399999998</v>
      </c>
      <c r="BE219" s="31">
        <f t="shared" si="33"/>
        <v>1133.15369</v>
      </c>
      <c r="BF219" s="31">
        <f t="shared" si="33"/>
        <v>5419.599520000001</v>
      </c>
      <c r="BG219" s="31">
        <f t="shared" si="33"/>
        <v>3329.81784</v>
      </c>
      <c r="BH219" s="31">
        <f t="shared" si="33"/>
        <v>0</v>
      </c>
      <c r="BI219" s="31">
        <f t="shared" si="33"/>
        <v>68.49018</v>
      </c>
      <c r="BJ219" s="31">
        <f t="shared" si="33"/>
        <v>343.6715</v>
      </c>
      <c r="BK219" s="31">
        <f t="shared" si="33"/>
        <v>0</v>
      </c>
      <c r="BL219" s="31">
        <f t="shared" si="33"/>
        <v>0</v>
      </c>
      <c r="BM219" s="31">
        <f t="shared" si="33"/>
        <v>0</v>
      </c>
      <c r="BN219" s="31">
        <f t="shared" si="33"/>
        <v>0</v>
      </c>
      <c r="BO219" s="31">
        <f aca="true" t="shared" si="34" ref="BO219:BT219">SUBTOTAL(9,BO202:BO218)</f>
        <v>0</v>
      </c>
      <c r="BP219" s="31">
        <f t="shared" si="34"/>
        <v>3000</v>
      </c>
      <c r="BQ219" s="31">
        <f t="shared" si="34"/>
        <v>0</v>
      </c>
      <c r="BR219" s="31">
        <f t="shared" si="34"/>
        <v>0</v>
      </c>
      <c r="BS219" s="32">
        <f t="shared" si="34"/>
        <v>0</v>
      </c>
      <c r="BT219" s="32">
        <f t="shared" si="34"/>
        <v>0</v>
      </c>
      <c r="BU219" s="33"/>
      <c r="BV219" s="34"/>
    </row>
    <row r="220" spans="1:73" ht="73.5" customHeight="1" outlineLevel="2">
      <c r="A220" s="44" t="s">
        <v>20</v>
      </c>
      <c r="B220" s="27" t="s">
        <v>305</v>
      </c>
      <c r="C220" s="39">
        <f aca="true" t="shared" si="35" ref="C220:C232">D220+E220</f>
        <v>113.54328</v>
      </c>
      <c r="D220" s="1">
        <f aca="true" t="shared" si="36" ref="D220:D232">F220+J220+N220+R220+T220+Z220+AB220+AD220+AF220+AM220+AO220+AT220+AY220+BF220+BO220+BS220+H220+V220+X220+BQ220+AR220+BH220</f>
        <v>69.80357</v>
      </c>
      <c r="E220" s="1">
        <f aca="true" t="shared" si="37" ref="E220:E232">G220+I220+K220+L220+M220+O220+P220+Q220+S220+U220+W220+Y220+AA220+AC220+AE220+AG220+AH220+AK220+AL220+AN220+AP220+AQ220+AS220+AU220+AV220+AW220+AX220+AZ220+BA220+BB220+BC220+BD220+BE220+BG220+BI220+BJ220+BK220+BL220+BM220+BN220+BU220+BP220+BR220+BT220</f>
        <v>43.73971</v>
      </c>
      <c r="F220" s="22"/>
      <c r="G220" s="22"/>
      <c r="H220" s="22"/>
      <c r="I220" s="22"/>
      <c r="J220" s="22"/>
      <c r="K220" s="22"/>
      <c r="L220" s="22"/>
      <c r="M220" s="2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22"/>
      <c r="AA220" s="22"/>
      <c r="AB220" s="23"/>
      <c r="AC220" s="4"/>
      <c r="AD220" s="22"/>
      <c r="AE220" s="22"/>
      <c r="AF220" s="22"/>
      <c r="AG220" s="22"/>
      <c r="AH220" s="20"/>
      <c r="AI220" s="4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4"/>
      <c r="BA220" s="4"/>
      <c r="BB220" s="4"/>
      <c r="BC220" s="22"/>
      <c r="BD220" s="22"/>
      <c r="BE220" s="22"/>
      <c r="BF220" s="22">
        <v>69.80357</v>
      </c>
      <c r="BG220" s="22">
        <v>43.73971</v>
      </c>
      <c r="BH220" s="22"/>
      <c r="BI220" s="22"/>
      <c r="BJ220" s="22"/>
      <c r="BK220" s="22"/>
      <c r="BL220" s="22"/>
      <c r="BM220" s="22"/>
      <c r="BN220" s="22"/>
      <c r="BO220" s="4"/>
      <c r="BP220" s="4"/>
      <c r="BQ220" s="4"/>
      <c r="BR220" s="4"/>
      <c r="BS220" s="4"/>
      <c r="BT220" s="22"/>
      <c r="BU220" s="24"/>
    </row>
    <row r="221" spans="1:73" ht="73.5" customHeight="1" outlineLevel="2">
      <c r="A221" s="44" t="s">
        <v>20</v>
      </c>
      <c r="B221" s="27" t="s">
        <v>669</v>
      </c>
      <c r="C221" s="39">
        <f t="shared" si="35"/>
        <v>22.47258</v>
      </c>
      <c r="D221" s="1">
        <f t="shared" si="36"/>
        <v>8.54958</v>
      </c>
      <c r="E221" s="1">
        <f t="shared" si="37"/>
        <v>13.923</v>
      </c>
      <c r="F221" s="22"/>
      <c r="G221" s="22"/>
      <c r="H221" s="22"/>
      <c r="I221" s="22"/>
      <c r="J221" s="22"/>
      <c r="K221" s="22"/>
      <c r="L221" s="22"/>
      <c r="M221" s="2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22"/>
      <c r="AA221" s="22"/>
      <c r="AB221" s="23"/>
      <c r="AC221" s="4"/>
      <c r="AD221" s="22"/>
      <c r="AE221" s="22"/>
      <c r="AF221" s="22"/>
      <c r="AG221" s="22"/>
      <c r="AH221" s="20"/>
      <c r="AI221" s="4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>
        <v>8.54958</v>
      </c>
      <c r="AZ221" s="4">
        <v>13.923</v>
      </c>
      <c r="BA221" s="4"/>
      <c r="BB221" s="4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4"/>
      <c r="BP221" s="4"/>
      <c r="BQ221" s="4"/>
      <c r="BR221" s="4"/>
      <c r="BS221" s="4"/>
      <c r="BT221" s="22"/>
      <c r="BU221" s="24"/>
    </row>
    <row r="222" spans="1:73" ht="73.5" customHeight="1" outlineLevel="2">
      <c r="A222" s="44" t="s">
        <v>20</v>
      </c>
      <c r="B222" s="27" t="s">
        <v>670</v>
      </c>
      <c r="C222" s="39">
        <f t="shared" si="35"/>
        <v>97.74011999999999</v>
      </c>
      <c r="D222" s="1">
        <f t="shared" si="36"/>
        <v>61.84838</v>
      </c>
      <c r="E222" s="1">
        <f t="shared" si="37"/>
        <v>35.89174</v>
      </c>
      <c r="F222" s="22"/>
      <c r="G222" s="22"/>
      <c r="H222" s="22"/>
      <c r="I222" s="22"/>
      <c r="J222" s="22"/>
      <c r="K222" s="22"/>
      <c r="L222" s="22"/>
      <c r="M222" s="2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22"/>
      <c r="AA222" s="22"/>
      <c r="AB222" s="4">
        <v>23.08849</v>
      </c>
      <c r="AC222" s="4">
        <v>11.65457</v>
      </c>
      <c r="AD222" s="22"/>
      <c r="AE222" s="22"/>
      <c r="AF222" s="22"/>
      <c r="AG222" s="22"/>
      <c r="AH222" s="20"/>
      <c r="AI222" s="4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4"/>
      <c r="BA222" s="4"/>
      <c r="BB222" s="4"/>
      <c r="BC222" s="22"/>
      <c r="BD222" s="22"/>
      <c r="BE222" s="22"/>
      <c r="BF222" s="22">
        <v>38.75989</v>
      </c>
      <c r="BG222" s="22">
        <v>24.23717</v>
      </c>
      <c r="BH222" s="22"/>
      <c r="BI222" s="22"/>
      <c r="BJ222" s="22"/>
      <c r="BK222" s="22"/>
      <c r="BL222" s="22"/>
      <c r="BM222" s="22"/>
      <c r="BN222" s="22"/>
      <c r="BO222" s="4"/>
      <c r="BP222" s="4"/>
      <c r="BQ222" s="4"/>
      <c r="BR222" s="4"/>
      <c r="BS222" s="4"/>
      <c r="BT222" s="22"/>
      <c r="BU222" s="24"/>
    </row>
    <row r="223" spans="1:73" ht="73.5" customHeight="1" outlineLevel="2">
      <c r="A223" s="44" t="s">
        <v>20</v>
      </c>
      <c r="B223" s="27" t="s">
        <v>671</v>
      </c>
      <c r="C223" s="39">
        <f t="shared" si="35"/>
        <v>317.85148</v>
      </c>
      <c r="D223" s="1">
        <f t="shared" si="36"/>
        <v>83.23109</v>
      </c>
      <c r="E223" s="1">
        <f t="shared" si="37"/>
        <v>234.62039</v>
      </c>
      <c r="F223" s="22"/>
      <c r="G223" s="22"/>
      <c r="H223" s="22"/>
      <c r="I223" s="22"/>
      <c r="J223" s="22"/>
      <c r="K223" s="22"/>
      <c r="L223" s="22">
        <v>154.52543</v>
      </c>
      <c r="M223" s="2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22">
        <v>34.75158</v>
      </c>
      <c r="AA223" s="22">
        <v>47.7495</v>
      </c>
      <c r="AB223" s="4">
        <v>23.12063</v>
      </c>
      <c r="AC223" s="4">
        <v>11.65457</v>
      </c>
      <c r="AD223" s="22"/>
      <c r="AE223" s="22"/>
      <c r="AF223" s="22"/>
      <c r="AG223" s="22"/>
      <c r="AH223" s="20">
        <v>4.8177</v>
      </c>
      <c r="AI223" s="4"/>
      <c r="AJ223" s="22">
        <v>4.8177</v>
      </c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4"/>
      <c r="BA223" s="4"/>
      <c r="BB223" s="4"/>
      <c r="BC223" s="22"/>
      <c r="BD223" s="22"/>
      <c r="BE223" s="22"/>
      <c r="BF223" s="22">
        <v>25.35888</v>
      </c>
      <c r="BG223" s="22">
        <v>15.87319</v>
      </c>
      <c r="BH223" s="22"/>
      <c r="BI223" s="22"/>
      <c r="BJ223" s="22"/>
      <c r="BK223" s="22"/>
      <c r="BL223" s="22"/>
      <c r="BM223" s="22"/>
      <c r="BN223" s="22"/>
      <c r="BO223" s="4"/>
      <c r="BP223" s="4"/>
      <c r="BQ223" s="4"/>
      <c r="BR223" s="4"/>
      <c r="BS223" s="4"/>
      <c r="BT223" s="22"/>
      <c r="BU223" s="24"/>
    </row>
    <row r="224" spans="1:73" ht="73.5" customHeight="1" outlineLevel="2">
      <c r="A224" s="44" t="s">
        <v>20</v>
      </c>
      <c r="B224" s="27" t="s">
        <v>672</v>
      </c>
      <c r="C224" s="39">
        <f t="shared" si="35"/>
        <v>6.31488</v>
      </c>
      <c r="D224" s="1">
        <f t="shared" si="36"/>
        <v>0</v>
      </c>
      <c r="E224" s="1">
        <f t="shared" si="37"/>
        <v>6.31488</v>
      </c>
      <c r="F224" s="22"/>
      <c r="G224" s="22"/>
      <c r="H224" s="22"/>
      <c r="I224" s="22"/>
      <c r="J224" s="22"/>
      <c r="K224" s="22"/>
      <c r="L224" s="22"/>
      <c r="M224" s="2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22"/>
      <c r="AA224" s="22"/>
      <c r="AB224" s="4"/>
      <c r="AC224" s="4"/>
      <c r="AD224" s="22"/>
      <c r="AE224" s="22"/>
      <c r="AF224" s="22"/>
      <c r="AG224" s="22"/>
      <c r="AH224" s="20"/>
      <c r="AI224" s="4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4">
        <v>6.31488</v>
      </c>
      <c r="BA224" s="4"/>
      <c r="BB224" s="4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4"/>
      <c r="BP224" s="4"/>
      <c r="BQ224" s="4"/>
      <c r="BR224" s="4"/>
      <c r="BS224" s="4"/>
      <c r="BT224" s="22"/>
      <c r="BU224" s="24"/>
    </row>
    <row r="225" spans="1:73" ht="73.5" customHeight="1" outlineLevel="2">
      <c r="A225" s="44" t="s">
        <v>20</v>
      </c>
      <c r="B225" s="27" t="s">
        <v>796</v>
      </c>
      <c r="C225" s="39">
        <f>D225+E225</f>
        <v>3000</v>
      </c>
      <c r="D225" s="1">
        <f t="shared" si="36"/>
        <v>1500</v>
      </c>
      <c r="E225" s="1">
        <f t="shared" si="37"/>
        <v>1500</v>
      </c>
      <c r="F225" s="22"/>
      <c r="G225" s="22"/>
      <c r="H225" s="22"/>
      <c r="I225" s="22"/>
      <c r="J225" s="22"/>
      <c r="K225" s="22"/>
      <c r="L225" s="22"/>
      <c r="M225" s="2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22"/>
      <c r="AA225" s="22"/>
      <c r="AB225" s="4"/>
      <c r="AC225" s="4"/>
      <c r="AD225" s="22"/>
      <c r="AE225" s="22"/>
      <c r="AF225" s="22"/>
      <c r="AG225" s="22"/>
      <c r="AH225" s="20"/>
      <c r="AI225" s="4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4"/>
      <c r="BA225" s="4"/>
      <c r="BB225" s="4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4">
        <v>1500</v>
      </c>
      <c r="BP225" s="4">
        <v>1500</v>
      </c>
      <c r="BQ225" s="4"/>
      <c r="BR225" s="4"/>
      <c r="BS225" s="4"/>
      <c r="BT225" s="22"/>
      <c r="BU225" s="24"/>
    </row>
    <row r="226" spans="1:73" ht="73.5" customHeight="1" outlineLevel="2">
      <c r="A226" s="44" t="s">
        <v>20</v>
      </c>
      <c r="B226" s="27" t="s">
        <v>797</v>
      </c>
      <c r="C226" s="39">
        <f>D226+E226</f>
        <v>3000</v>
      </c>
      <c r="D226" s="1">
        <f t="shared" si="36"/>
        <v>1500</v>
      </c>
      <c r="E226" s="1">
        <f t="shared" si="37"/>
        <v>1500</v>
      </c>
      <c r="F226" s="22"/>
      <c r="G226" s="22"/>
      <c r="H226" s="22"/>
      <c r="I226" s="22"/>
      <c r="J226" s="22"/>
      <c r="K226" s="22"/>
      <c r="L226" s="22"/>
      <c r="M226" s="2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22"/>
      <c r="AA226" s="22"/>
      <c r="AB226" s="4"/>
      <c r="AC226" s="4"/>
      <c r="AD226" s="22"/>
      <c r="AE226" s="22"/>
      <c r="AF226" s="22"/>
      <c r="AG226" s="22"/>
      <c r="AH226" s="20"/>
      <c r="AI226" s="4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4"/>
      <c r="BA226" s="4"/>
      <c r="BB226" s="4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4">
        <v>1500</v>
      </c>
      <c r="BP226" s="4">
        <v>1500</v>
      </c>
      <c r="BQ226" s="4"/>
      <c r="BR226" s="4"/>
      <c r="BS226" s="4"/>
      <c r="BT226" s="22"/>
      <c r="BU226" s="24"/>
    </row>
    <row r="227" spans="1:73" ht="73.5" customHeight="1" outlineLevel="2">
      <c r="A227" s="44" t="s">
        <v>20</v>
      </c>
      <c r="B227" s="27" t="s">
        <v>798</v>
      </c>
      <c r="C227" s="39">
        <f>D227+E227</f>
        <v>3000</v>
      </c>
      <c r="D227" s="1">
        <f t="shared" si="36"/>
        <v>1500</v>
      </c>
      <c r="E227" s="1">
        <f t="shared" si="37"/>
        <v>1500</v>
      </c>
      <c r="F227" s="22"/>
      <c r="G227" s="22"/>
      <c r="H227" s="22"/>
      <c r="I227" s="22"/>
      <c r="J227" s="22"/>
      <c r="K227" s="22"/>
      <c r="L227" s="22"/>
      <c r="M227" s="2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22"/>
      <c r="AA227" s="22"/>
      <c r="AB227" s="4"/>
      <c r="AC227" s="4"/>
      <c r="AD227" s="22"/>
      <c r="AE227" s="22"/>
      <c r="AF227" s="22"/>
      <c r="AG227" s="22"/>
      <c r="AH227" s="20"/>
      <c r="AI227" s="4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4"/>
      <c r="BA227" s="4"/>
      <c r="BB227" s="4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4">
        <v>1500</v>
      </c>
      <c r="BP227" s="4">
        <v>1500</v>
      </c>
      <c r="BQ227" s="4"/>
      <c r="BR227" s="4"/>
      <c r="BS227" s="4"/>
      <c r="BT227" s="22"/>
      <c r="BU227" s="24"/>
    </row>
    <row r="228" spans="1:73" ht="73.5" customHeight="1" outlineLevel="2">
      <c r="A228" s="44" t="s">
        <v>20</v>
      </c>
      <c r="B228" s="27" t="s">
        <v>799</v>
      </c>
      <c r="C228" s="39">
        <f>D228+E228</f>
        <v>3000</v>
      </c>
      <c r="D228" s="1">
        <f t="shared" si="36"/>
        <v>1500</v>
      </c>
      <c r="E228" s="1">
        <f t="shared" si="37"/>
        <v>1500</v>
      </c>
      <c r="F228" s="22"/>
      <c r="G228" s="22"/>
      <c r="H228" s="22"/>
      <c r="I228" s="22"/>
      <c r="J228" s="22"/>
      <c r="K228" s="22"/>
      <c r="L228" s="22"/>
      <c r="M228" s="2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22"/>
      <c r="AA228" s="22"/>
      <c r="AB228" s="4"/>
      <c r="AC228" s="4"/>
      <c r="AD228" s="22"/>
      <c r="AE228" s="22"/>
      <c r="AF228" s="22"/>
      <c r="AG228" s="22"/>
      <c r="AH228" s="20"/>
      <c r="AI228" s="4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4"/>
      <c r="BA228" s="4"/>
      <c r="BB228" s="4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4">
        <v>1500</v>
      </c>
      <c r="BP228" s="4">
        <v>1500</v>
      </c>
      <c r="BQ228" s="4"/>
      <c r="BR228" s="4"/>
      <c r="BS228" s="4"/>
      <c r="BT228" s="22"/>
      <c r="BU228" s="24"/>
    </row>
    <row r="229" spans="1:73" ht="73.5" customHeight="1" outlineLevel="2">
      <c r="A229" s="44" t="s">
        <v>20</v>
      </c>
      <c r="B229" s="27" t="s">
        <v>673</v>
      </c>
      <c r="C229" s="39">
        <f>D229+E229</f>
        <v>1095.58846</v>
      </c>
      <c r="D229" s="1">
        <f t="shared" si="36"/>
        <v>93.19622</v>
      </c>
      <c r="E229" s="1">
        <f t="shared" si="37"/>
        <v>1002.39224</v>
      </c>
      <c r="F229" s="22"/>
      <c r="G229" s="22"/>
      <c r="H229" s="22"/>
      <c r="I229" s="22"/>
      <c r="J229" s="22"/>
      <c r="K229" s="22"/>
      <c r="L229" s="22"/>
      <c r="M229" s="22">
        <v>899.9973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22"/>
      <c r="AA229" s="22"/>
      <c r="AB229" s="4"/>
      <c r="AC229" s="4"/>
      <c r="AD229" s="22"/>
      <c r="AE229" s="22"/>
      <c r="AF229" s="22"/>
      <c r="AG229" s="22"/>
      <c r="AH229" s="20"/>
      <c r="AI229" s="4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>
        <v>93.19622</v>
      </c>
      <c r="AZ229" s="4">
        <v>102.39494</v>
      </c>
      <c r="BA229" s="4"/>
      <c r="BB229" s="4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4"/>
      <c r="BP229" s="4"/>
      <c r="BQ229" s="4"/>
      <c r="BR229" s="4"/>
      <c r="BS229" s="4"/>
      <c r="BT229" s="22"/>
      <c r="BU229" s="24"/>
    </row>
    <row r="230" spans="1:73" ht="73.5" customHeight="1" outlineLevel="2">
      <c r="A230" s="44" t="s">
        <v>20</v>
      </c>
      <c r="B230" s="27" t="s">
        <v>506</v>
      </c>
      <c r="C230" s="39">
        <f t="shared" si="35"/>
        <v>133.54027000000002</v>
      </c>
      <c r="D230" s="1">
        <f t="shared" si="36"/>
        <v>64.45133</v>
      </c>
      <c r="E230" s="1">
        <f t="shared" si="37"/>
        <v>69.08894000000001</v>
      </c>
      <c r="F230" s="22"/>
      <c r="G230" s="22"/>
      <c r="H230" s="22"/>
      <c r="I230" s="22"/>
      <c r="J230" s="22"/>
      <c r="K230" s="22"/>
      <c r="L230" s="22"/>
      <c r="M230" s="2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22"/>
      <c r="AA230" s="22"/>
      <c r="AB230" s="4">
        <v>25.13496</v>
      </c>
      <c r="AC230" s="4">
        <v>11.65457</v>
      </c>
      <c r="AD230" s="22"/>
      <c r="AE230" s="22"/>
      <c r="AF230" s="22"/>
      <c r="AG230" s="22"/>
      <c r="AH230" s="20">
        <v>4.8177</v>
      </c>
      <c r="AI230" s="4"/>
      <c r="AJ230" s="22">
        <v>4.8177</v>
      </c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4"/>
      <c r="BA230" s="4"/>
      <c r="BB230" s="4"/>
      <c r="BC230" s="22"/>
      <c r="BD230" s="22"/>
      <c r="BE230" s="22"/>
      <c r="BF230" s="22">
        <v>39.31637</v>
      </c>
      <c r="BG230" s="22">
        <v>24.50579</v>
      </c>
      <c r="BH230" s="22"/>
      <c r="BI230" s="22"/>
      <c r="BJ230" s="22">
        <v>28.11088</v>
      </c>
      <c r="BK230" s="22"/>
      <c r="BL230" s="22"/>
      <c r="BM230" s="22"/>
      <c r="BN230" s="22"/>
      <c r="BO230" s="4"/>
      <c r="BP230" s="4"/>
      <c r="BQ230" s="4"/>
      <c r="BR230" s="4"/>
      <c r="BS230" s="4"/>
      <c r="BT230" s="22"/>
      <c r="BU230" s="24"/>
    </row>
    <row r="231" spans="1:73" ht="73.5" customHeight="1" outlineLevel="2">
      <c r="A231" s="44" t="s">
        <v>20</v>
      </c>
      <c r="B231" s="27" t="s">
        <v>674</v>
      </c>
      <c r="C231" s="39">
        <f t="shared" si="35"/>
        <v>317.79745</v>
      </c>
      <c r="D231" s="1">
        <f t="shared" si="36"/>
        <v>0</v>
      </c>
      <c r="E231" s="1">
        <f t="shared" si="37"/>
        <v>317.79745</v>
      </c>
      <c r="F231" s="22"/>
      <c r="G231" s="22"/>
      <c r="H231" s="22"/>
      <c r="I231" s="22"/>
      <c r="J231" s="22"/>
      <c r="K231" s="22"/>
      <c r="L231" s="22"/>
      <c r="M231" s="2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22"/>
      <c r="AA231" s="22"/>
      <c r="AB231" s="4"/>
      <c r="AC231" s="4"/>
      <c r="AD231" s="22"/>
      <c r="AE231" s="22"/>
      <c r="AF231" s="22"/>
      <c r="AG231" s="22"/>
      <c r="AH231" s="20"/>
      <c r="AI231" s="4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4">
        <v>4.02064</v>
      </c>
      <c r="BA231" s="4"/>
      <c r="BB231" s="4"/>
      <c r="BC231" s="22"/>
      <c r="BD231" s="22"/>
      <c r="BE231" s="22"/>
      <c r="BF231" s="22"/>
      <c r="BG231" s="22"/>
      <c r="BH231" s="22"/>
      <c r="BI231" s="22"/>
      <c r="BJ231" s="22">
        <v>313.77681</v>
      </c>
      <c r="BK231" s="22"/>
      <c r="BL231" s="22"/>
      <c r="BM231" s="22"/>
      <c r="BN231" s="22"/>
      <c r="BO231" s="4"/>
      <c r="BP231" s="4"/>
      <c r="BQ231" s="4"/>
      <c r="BR231" s="4"/>
      <c r="BS231" s="4"/>
      <c r="BT231" s="22"/>
      <c r="BU231" s="24"/>
    </row>
    <row r="232" spans="1:73" ht="73.5" customHeight="1" outlineLevel="2" thickBot="1">
      <c r="A232" s="44" t="s">
        <v>20</v>
      </c>
      <c r="B232" s="26" t="s">
        <v>698</v>
      </c>
      <c r="C232" s="39">
        <f t="shared" si="35"/>
        <v>621.2976</v>
      </c>
      <c r="D232" s="1">
        <f t="shared" si="36"/>
        <v>0</v>
      </c>
      <c r="E232" s="1">
        <f t="shared" si="37"/>
        <v>621.2976</v>
      </c>
      <c r="F232" s="22"/>
      <c r="G232" s="22"/>
      <c r="H232" s="22"/>
      <c r="I232" s="22"/>
      <c r="J232" s="22"/>
      <c r="K232" s="22"/>
      <c r="L232" s="22"/>
      <c r="M232" s="2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22"/>
      <c r="AA232" s="22"/>
      <c r="AB232" s="4"/>
      <c r="AC232" s="4"/>
      <c r="AD232" s="22"/>
      <c r="AE232" s="22"/>
      <c r="AF232" s="22"/>
      <c r="AG232" s="22"/>
      <c r="AH232" s="20"/>
      <c r="AI232" s="4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4"/>
      <c r="BA232" s="4"/>
      <c r="BB232" s="4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>
        <v>621.2976</v>
      </c>
      <c r="BN232" s="22"/>
      <c r="BO232" s="4"/>
      <c r="BP232" s="4"/>
      <c r="BQ232" s="4"/>
      <c r="BR232" s="4"/>
      <c r="BS232" s="4"/>
      <c r="BT232" s="22"/>
      <c r="BU232" s="24"/>
    </row>
    <row r="233" spans="1:74" s="35" customFormat="1" ht="73.5" customHeight="1" outlineLevel="1" thickBot="1">
      <c r="A233" s="53" t="s">
        <v>245</v>
      </c>
      <c r="B233" s="54"/>
      <c r="C233" s="31">
        <f aca="true" t="shared" si="38" ref="C233:BN233">SUBTOTAL(9,C220:C232)</f>
        <v>14726.14612</v>
      </c>
      <c r="D233" s="31">
        <f t="shared" si="38"/>
        <v>6381.080169999999</v>
      </c>
      <c r="E233" s="31">
        <f t="shared" si="38"/>
        <v>8345.06595</v>
      </c>
      <c r="F233" s="31">
        <f t="shared" si="38"/>
        <v>0</v>
      </c>
      <c r="G233" s="31">
        <f t="shared" si="38"/>
        <v>0</v>
      </c>
      <c r="H233" s="31">
        <f t="shared" si="38"/>
        <v>0</v>
      </c>
      <c r="I233" s="31">
        <f t="shared" si="38"/>
        <v>0</v>
      </c>
      <c r="J233" s="31">
        <f t="shared" si="38"/>
        <v>0</v>
      </c>
      <c r="K233" s="31">
        <f t="shared" si="38"/>
        <v>0</v>
      </c>
      <c r="L233" s="31">
        <f t="shared" si="38"/>
        <v>154.52543</v>
      </c>
      <c r="M233" s="31">
        <f t="shared" si="38"/>
        <v>899.9973</v>
      </c>
      <c r="N233" s="31">
        <f t="shared" si="38"/>
        <v>0</v>
      </c>
      <c r="O233" s="31">
        <f t="shared" si="38"/>
        <v>0</v>
      </c>
      <c r="P233" s="31">
        <f t="shared" si="38"/>
        <v>0</v>
      </c>
      <c r="Q233" s="31">
        <f t="shared" si="38"/>
        <v>0</v>
      </c>
      <c r="R233" s="31">
        <f t="shared" si="38"/>
        <v>0</v>
      </c>
      <c r="S233" s="31">
        <f t="shared" si="38"/>
        <v>0</v>
      </c>
      <c r="T233" s="31">
        <f t="shared" si="38"/>
        <v>0</v>
      </c>
      <c r="U233" s="31">
        <f t="shared" si="38"/>
        <v>0</v>
      </c>
      <c r="V233" s="31">
        <f t="shared" si="38"/>
        <v>0</v>
      </c>
      <c r="W233" s="31">
        <f t="shared" si="38"/>
        <v>0</v>
      </c>
      <c r="X233" s="31">
        <f t="shared" si="38"/>
        <v>0</v>
      </c>
      <c r="Y233" s="31">
        <f t="shared" si="38"/>
        <v>0</v>
      </c>
      <c r="Z233" s="31">
        <f t="shared" si="38"/>
        <v>34.75158</v>
      </c>
      <c r="AA233" s="31">
        <f t="shared" si="38"/>
        <v>47.7495</v>
      </c>
      <c r="AB233" s="31">
        <f t="shared" si="38"/>
        <v>71.34407999999999</v>
      </c>
      <c r="AC233" s="31">
        <f t="shared" si="38"/>
        <v>34.96371</v>
      </c>
      <c r="AD233" s="31">
        <f t="shared" si="38"/>
        <v>0</v>
      </c>
      <c r="AE233" s="31">
        <f t="shared" si="38"/>
        <v>0</v>
      </c>
      <c r="AF233" s="31">
        <f t="shared" si="38"/>
        <v>0</v>
      </c>
      <c r="AG233" s="31">
        <f t="shared" si="38"/>
        <v>0</v>
      </c>
      <c r="AH233" s="31">
        <f t="shared" si="38"/>
        <v>9.6354</v>
      </c>
      <c r="AI233" s="31">
        <f t="shared" si="38"/>
        <v>0</v>
      </c>
      <c r="AJ233" s="31">
        <f t="shared" si="38"/>
        <v>9.6354</v>
      </c>
      <c r="AK233" s="31">
        <f t="shared" si="38"/>
        <v>0</v>
      </c>
      <c r="AL233" s="31">
        <f t="shared" si="38"/>
        <v>0</v>
      </c>
      <c r="AM233" s="31">
        <f t="shared" si="38"/>
        <v>0</v>
      </c>
      <c r="AN233" s="31">
        <f t="shared" si="38"/>
        <v>0</v>
      </c>
      <c r="AO233" s="31">
        <f t="shared" si="38"/>
        <v>0</v>
      </c>
      <c r="AP233" s="31">
        <f t="shared" si="38"/>
        <v>0</v>
      </c>
      <c r="AQ233" s="31">
        <f t="shared" si="38"/>
        <v>0</v>
      </c>
      <c r="AR233" s="31">
        <f t="shared" si="38"/>
        <v>0</v>
      </c>
      <c r="AS233" s="31">
        <f t="shared" si="38"/>
        <v>0</v>
      </c>
      <c r="AT233" s="31">
        <f t="shared" si="38"/>
        <v>0</v>
      </c>
      <c r="AU233" s="31">
        <f t="shared" si="38"/>
        <v>0</v>
      </c>
      <c r="AV233" s="31">
        <f t="shared" si="38"/>
        <v>0</v>
      </c>
      <c r="AW233" s="31">
        <f t="shared" si="38"/>
        <v>0</v>
      </c>
      <c r="AX233" s="31">
        <f t="shared" si="38"/>
        <v>0</v>
      </c>
      <c r="AY233" s="31">
        <f t="shared" si="38"/>
        <v>101.7458</v>
      </c>
      <c r="AZ233" s="31">
        <f t="shared" si="38"/>
        <v>126.65346000000001</v>
      </c>
      <c r="BA233" s="31">
        <f t="shared" si="38"/>
        <v>0</v>
      </c>
      <c r="BB233" s="31">
        <f t="shared" si="38"/>
        <v>0</v>
      </c>
      <c r="BC233" s="31">
        <f t="shared" si="38"/>
        <v>0</v>
      </c>
      <c r="BD233" s="31">
        <f t="shared" si="38"/>
        <v>0</v>
      </c>
      <c r="BE233" s="31">
        <f t="shared" si="38"/>
        <v>0</v>
      </c>
      <c r="BF233" s="31">
        <f t="shared" si="38"/>
        <v>173.23871</v>
      </c>
      <c r="BG233" s="31">
        <f t="shared" si="38"/>
        <v>108.35585999999999</v>
      </c>
      <c r="BH233" s="31">
        <f t="shared" si="38"/>
        <v>0</v>
      </c>
      <c r="BI233" s="31">
        <f t="shared" si="38"/>
        <v>0</v>
      </c>
      <c r="BJ233" s="31">
        <f t="shared" si="38"/>
        <v>341.88769</v>
      </c>
      <c r="BK233" s="31">
        <f t="shared" si="38"/>
        <v>0</v>
      </c>
      <c r="BL233" s="31">
        <f t="shared" si="38"/>
        <v>0</v>
      </c>
      <c r="BM233" s="31">
        <f t="shared" si="38"/>
        <v>621.2976</v>
      </c>
      <c r="BN233" s="31">
        <f t="shared" si="38"/>
        <v>0</v>
      </c>
      <c r="BO233" s="31">
        <f aca="true" t="shared" si="39" ref="BO233:BT233">SUBTOTAL(9,BO220:BO232)</f>
        <v>6000</v>
      </c>
      <c r="BP233" s="31">
        <f t="shared" si="39"/>
        <v>6000</v>
      </c>
      <c r="BQ233" s="31">
        <f t="shared" si="39"/>
        <v>0</v>
      </c>
      <c r="BR233" s="31">
        <f t="shared" si="39"/>
        <v>0</v>
      </c>
      <c r="BS233" s="32">
        <f t="shared" si="39"/>
        <v>0</v>
      </c>
      <c r="BT233" s="32">
        <f t="shared" si="39"/>
        <v>0</v>
      </c>
      <c r="BU233" s="33"/>
      <c r="BV233" s="34"/>
    </row>
    <row r="234" spans="1:73" ht="73.5" customHeight="1" outlineLevel="2">
      <c r="A234" s="36" t="s">
        <v>246</v>
      </c>
      <c r="B234" s="37" t="s">
        <v>178</v>
      </c>
      <c r="C234" s="39">
        <f>D234+E234</f>
        <v>4695.225050000001</v>
      </c>
      <c r="D234" s="1">
        <f aca="true" t="shared" si="40" ref="D234:D282">F234+J234+N234+R234+T234+Z234+AB234+AD234+AF234+AM234+AO234+AT234+AY234+BF234+BO234+BS234+H234+V234+X234+BQ234+AR234+BH234</f>
        <v>2171.3020800000004</v>
      </c>
      <c r="E234" s="1">
        <f aca="true" t="shared" si="41" ref="E234:E282">G234+I234+K234+L234+M234+O234+P234+Q234+S234+U234+W234+Y234+AA234+AC234+AE234+AG234+AH234+AK234+AL234+AN234+AP234+AQ234+AS234+AU234+AV234+AW234+AX234+AZ234+BA234+BB234+BC234+BD234+BE234+BG234+BI234+BJ234+BK234+BL234+BM234+BN234+BU234+BP234+BR234+BT234</f>
        <v>2523.92297</v>
      </c>
      <c r="F234" s="40"/>
      <c r="G234" s="40"/>
      <c r="H234" s="40"/>
      <c r="I234" s="40"/>
      <c r="J234" s="40"/>
      <c r="K234" s="40"/>
      <c r="L234" s="40"/>
      <c r="M234" s="40"/>
      <c r="N234" s="41"/>
      <c r="O234" s="41"/>
      <c r="P234" s="41"/>
      <c r="Q234" s="41"/>
      <c r="R234" s="41">
        <v>115.32808</v>
      </c>
      <c r="S234" s="41">
        <v>97.38043</v>
      </c>
      <c r="T234" s="41"/>
      <c r="U234" s="41"/>
      <c r="V234" s="41"/>
      <c r="W234" s="41"/>
      <c r="X234" s="41"/>
      <c r="Y234" s="41"/>
      <c r="Z234" s="40">
        <v>95.56684</v>
      </c>
      <c r="AA234" s="40">
        <v>131.3415</v>
      </c>
      <c r="AB234" s="42">
        <v>905.54076</v>
      </c>
      <c r="AC234" s="41">
        <v>431.21894</v>
      </c>
      <c r="AD234" s="40"/>
      <c r="AE234" s="40"/>
      <c r="AF234" s="40"/>
      <c r="AG234" s="40"/>
      <c r="AH234" s="43">
        <f>211.81255+248.1167</f>
        <v>459.92925</v>
      </c>
      <c r="AI234" s="41">
        <v>248.1167</v>
      </c>
      <c r="AJ234" s="40">
        <v>211.81255</v>
      </c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1"/>
      <c r="BA234" s="41"/>
      <c r="BB234" s="41"/>
      <c r="BC234" s="40"/>
      <c r="BD234" s="40">
        <f>7.8225+602.9471</f>
        <v>610.7696</v>
      </c>
      <c r="BE234" s="40">
        <v>133.3</v>
      </c>
      <c r="BF234" s="40">
        <v>1054.8664</v>
      </c>
      <c r="BG234" s="40">
        <v>659.98325</v>
      </c>
      <c r="BH234" s="40"/>
      <c r="BI234" s="40"/>
      <c r="BJ234" s="40"/>
      <c r="BK234" s="40"/>
      <c r="BL234" s="40"/>
      <c r="BM234" s="40"/>
      <c r="BN234" s="40"/>
      <c r="BO234" s="41"/>
      <c r="BP234" s="41"/>
      <c r="BQ234" s="41"/>
      <c r="BR234" s="41"/>
      <c r="BS234" s="4"/>
      <c r="BT234" s="22"/>
      <c r="BU234" s="24"/>
    </row>
    <row r="235" spans="1:73" ht="73.5" customHeight="1" outlineLevel="2">
      <c r="A235" s="46" t="s">
        <v>246</v>
      </c>
      <c r="B235" s="45" t="s">
        <v>150</v>
      </c>
      <c r="C235" s="39">
        <f aca="true" t="shared" si="42" ref="C235:C282">D235+E235</f>
        <v>1002.02028</v>
      </c>
      <c r="D235" s="1">
        <f t="shared" si="40"/>
        <v>503.98902</v>
      </c>
      <c r="E235" s="1">
        <f t="shared" si="41"/>
        <v>498.03126</v>
      </c>
      <c r="F235" s="22"/>
      <c r="G235" s="22"/>
      <c r="H235" s="22"/>
      <c r="I235" s="22"/>
      <c r="J235" s="22">
        <v>43.77377</v>
      </c>
      <c r="K235" s="22">
        <v>6.05542</v>
      </c>
      <c r="L235" s="22">
        <v>182.60004</v>
      </c>
      <c r="M235" s="2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22"/>
      <c r="AA235" s="22"/>
      <c r="AB235" s="23">
        <v>177.10092</v>
      </c>
      <c r="AC235" s="4">
        <v>84.61215</v>
      </c>
      <c r="AD235" s="22"/>
      <c r="AE235" s="22"/>
      <c r="AF235" s="22"/>
      <c r="AG235" s="22"/>
      <c r="AH235" s="20">
        <v>47.77049</v>
      </c>
      <c r="AI235" s="4"/>
      <c r="AJ235" s="20">
        <v>47.77049</v>
      </c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4"/>
      <c r="BA235" s="4"/>
      <c r="BB235" s="4"/>
      <c r="BC235" s="22"/>
      <c r="BD235" s="22"/>
      <c r="BE235" s="22"/>
      <c r="BF235" s="22">
        <v>283.11433</v>
      </c>
      <c r="BG235" s="22">
        <v>176.99316</v>
      </c>
      <c r="BH235" s="22"/>
      <c r="BI235" s="22"/>
      <c r="BJ235" s="22"/>
      <c r="BK235" s="22"/>
      <c r="BL235" s="22"/>
      <c r="BM235" s="22"/>
      <c r="BN235" s="22"/>
      <c r="BO235" s="4"/>
      <c r="BP235" s="4"/>
      <c r="BQ235" s="4"/>
      <c r="BR235" s="4"/>
      <c r="BS235" s="4"/>
      <c r="BT235" s="22"/>
      <c r="BU235" s="24"/>
    </row>
    <row r="236" spans="1:73" ht="73.5" customHeight="1" outlineLevel="2">
      <c r="A236" s="46" t="s">
        <v>246</v>
      </c>
      <c r="B236" s="45" t="s">
        <v>410</v>
      </c>
      <c r="C236" s="39">
        <f t="shared" si="42"/>
        <v>1388.0876</v>
      </c>
      <c r="D236" s="1">
        <f t="shared" si="40"/>
        <v>590.96199</v>
      </c>
      <c r="E236" s="1">
        <f t="shared" si="41"/>
        <v>797.12561</v>
      </c>
      <c r="F236" s="22"/>
      <c r="G236" s="22"/>
      <c r="H236" s="22"/>
      <c r="I236" s="22"/>
      <c r="J236" s="22"/>
      <c r="K236" s="22"/>
      <c r="L236" s="22"/>
      <c r="M236" s="22"/>
      <c r="N236" s="4"/>
      <c r="O236" s="4"/>
      <c r="P236" s="4"/>
      <c r="Q236" s="4"/>
      <c r="R236" s="4">
        <v>36.57759</v>
      </c>
      <c r="S236" s="4">
        <v>54.12169</v>
      </c>
      <c r="T236" s="4"/>
      <c r="U236" s="4"/>
      <c r="V236" s="4"/>
      <c r="W236" s="4"/>
      <c r="X236" s="4"/>
      <c r="Y236" s="4"/>
      <c r="Z236" s="22"/>
      <c r="AA236" s="22"/>
      <c r="AB236" s="23">
        <v>269.95572</v>
      </c>
      <c r="AC236" s="4">
        <v>110.71838</v>
      </c>
      <c r="AD236" s="22"/>
      <c r="AE236" s="22"/>
      <c r="AF236" s="22"/>
      <c r="AG236" s="22"/>
      <c r="AH236" s="20">
        <f>53.17847+68.96265</f>
        <v>122.14112</v>
      </c>
      <c r="AI236" s="4">
        <v>68.96265</v>
      </c>
      <c r="AJ236" s="22">
        <v>53.17847</v>
      </c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4"/>
      <c r="BA236" s="4"/>
      <c r="BB236" s="4"/>
      <c r="BC236" s="22"/>
      <c r="BD236" s="22"/>
      <c r="BE236" s="22"/>
      <c r="BF236" s="22">
        <v>284.42868</v>
      </c>
      <c r="BG236" s="22">
        <v>177.80608</v>
      </c>
      <c r="BH236" s="22"/>
      <c r="BI236" s="22"/>
      <c r="BJ236" s="22">
        <v>332.33834</v>
      </c>
      <c r="BK236" s="22"/>
      <c r="BL236" s="22"/>
      <c r="BM236" s="22"/>
      <c r="BN236" s="22"/>
      <c r="BO236" s="4"/>
      <c r="BP236" s="4"/>
      <c r="BQ236" s="4"/>
      <c r="BR236" s="4"/>
      <c r="BS236" s="4"/>
      <c r="BT236" s="22"/>
      <c r="BU236" s="24"/>
    </row>
    <row r="237" spans="1:73" ht="73.5" customHeight="1" outlineLevel="2">
      <c r="A237" s="46" t="s">
        <v>246</v>
      </c>
      <c r="B237" s="45" t="s">
        <v>66</v>
      </c>
      <c r="C237" s="39">
        <f t="shared" si="42"/>
        <v>641.46785</v>
      </c>
      <c r="D237" s="1">
        <f t="shared" si="40"/>
        <v>402.16322</v>
      </c>
      <c r="E237" s="1">
        <f t="shared" si="41"/>
        <v>239.30463</v>
      </c>
      <c r="F237" s="22"/>
      <c r="G237" s="22"/>
      <c r="H237" s="22"/>
      <c r="I237" s="22"/>
      <c r="J237" s="22"/>
      <c r="K237" s="22"/>
      <c r="L237" s="22"/>
      <c r="M237" s="2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22"/>
      <c r="AA237" s="22"/>
      <c r="AB237" s="23">
        <v>126.50416</v>
      </c>
      <c r="AC237" s="4">
        <v>67.1303</v>
      </c>
      <c r="AD237" s="22"/>
      <c r="AE237" s="22"/>
      <c r="AF237" s="22"/>
      <c r="AG237" s="22"/>
      <c r="AH237" s="20"/>
      <c r="AI237" s="4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4"/>
      <c r="BA237" s="4"/>
      <c r="BB237" s="4"/>
      <c r="BC237" s="22"/>
      <c r="BD237" s="22"/>
      <c r="BE237" s="22"/>
      <c r="BF237" s="22">
        <v>275.65906</v>
      </c>
      <c r="BG237" s="22">
        <v>172.17433</v>
      </c>
      <c r="BH237" s="22"/>
      <c r="BI237" s="22"/>
      <c r="BJ237" s="22"/>
      <c r="BK237" s="22"/>
      <c r="BL237" s="22"/>
      <c r="BM237" s="22"/>
      <c r="BN237" s="22"/>
      <c r="BO237" s="4"/>
      <c r="BP237" s="4"/>
      <c r="BQ237" s="4"/>
      <c r="BR237" s="4"/>
      <c r="BS237" s="4"/>
      <c r="BT237" s="22"/>
      <c r="BU237" s="24"/>
    </row>
    <row r="238" spans="1:73" ht="73.5" customHeight="1" outlineLevel="2">
      <c r="A238" s="46" t="s">
        <v>246</v>
      </c>
      <c r="B238" s="45" t="s">
        <v>452</v>
      </c>
      <c r="C238" s="39">
        <f t="shared" si="42"/>
        <v>4038.9029</v>
      </c>
      <c r="D238" s="1">
        <f t="shared" si="40"/>
        <v>2128.68278</v>
      </c>
      <c r="E238" s="1">
        <f t="shared" si="41"/>
        <v>1910.22012</v>
      </c>
      <c r="F238" s="22"/>
      <c r="G238" s="22"/>
      <c r="H238" s="22"/>
      <c r="I238" s="22"/>
      <c r="J238" s="22"/>
      <c r="K238" s="22"/>
      <c r="L238" s="22"/>
      <c r="M238" s="2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22">
        <v>64.29042</v>
      </c>
      <c r="AA238" s="22">
        <v>88.371</v>
      </c>
      <c r="AB238" s="23">
        <v>822.70364</v>
      </c>
      <c r="AC238" s="4">
        <v>407.90981</v>
      </c>
      <c r="AD238" s="22"/>
      <c r="AE238" s="22"/>
      <c r="AF238" s="22"/>
      <c r="AG238" s="22"/>
      <c r="AH238" s="20">
        <f>248.76708+292.3421</f>
        <v>541.10918</v>
      </c>
      <c r="AI238" s="4">
        <v>292.3421</v>
      </c>
      <c r="AJ238" s="22">
        <v>248.76708</v>
      </c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4"/>
      <c r="BA238" s="4"/>
      <c r="BB238" s="4"/>
      <c r="BC238" s="22"/>
      <c r="BD238" s="22"/>
      <c r="BE238" s="22">
        <v>95.97632</v>
      </c>
      <c r="BF238" s="22">
        <v>1241.68872</v>
      </c>
      <c r="BG238" s="22">
        <v>776.85381</v>
      </c>
      <c r="BH238" s="22"/>
      <c r="BI238" s="22"/>
      <c r="BJ238" s="22"/>
      <c r="BK238" s="22"/>
      <c r="BL238" s="22"/>
      <c r="BM238" s="22"/>
      <c r="BN238" s="22"/>
      <c r="BO238" s="4"/>
      <c r="BP238" s="4"/>
      <c r="BQ238" s="4"/>
      <c r="BR238" s="4"/>
      <c r="BS238" s="4"/>
      <c r="BT238" s="22"/>
      <c r="BU238" s="24"/>
    </row>
    <row r="239" spans="1:73" ht="73.5" customHeight="1" outlineLevel="2">
      <c r="A239" s="46" t="s">
        <v>246</v>
      </c>
      <c r="B239" s="45" t="s">
        <v>79</v>
      </c>
      <c r="C239" s="39">
        <f t="shared" si="42"/>
        <v>39.48125</v>
      </c>
      <c r="D239" s="1">
        <f t="shared" si="40"/>
        <v>24.91481</v>
      </c>
      <c r="E239" s="1">
        <f t="shared" si="41"/>
        <v>14.56644</v>
      </c>
      <c r="F239" s="22"/>
      <c r="G239" s="22"/>
      <c r="H239" s="22"/>
      <c r="I239" s="22"/>
      <c r="J239" s="22"/>
      <c r="K239" s="22"/>
      <c r="L239" s="22"/>
      <c r="M239" s="2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22"/>
      <c r="AA239" s="22"/>
      <c r="AB239" s="23">
        <v>10.55172</v>
      </c>
      <c r="AC239" s="4">
        <v>5.59419</v>
      </c>
      <c r="AD239" s="22"/>
      <c r="AE239" s="22"/>
      <c r="AF239" s="22"/>
      <c r="AG239" s="22"/>
      <c r="AH239" s="20"/>
      <c r="AI239" s="4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4"/>
      <c r="BA239" s="4"/>
      <c r="BB239" s="4"/>
      <c r="BC239" s="22"/>
      <c r="BD239" s="22"/>
      <c r="BE239" s="22"/>
      <c r="BF239" s="22">
        <v>14.36309</v>
      </c>
      <c r="BG239" s="22">
        <v>8.97225</v>
      </c>
      <c r="BH239" s="22"/>
      <c r="BI239" s="22"/>
      <c r="BJ239" s="22"/>
      <c r="BK239" s="22"/>
      <c r="BL239" s="22"/>
      <c r="BM239" s="22"/>
      <c r="BN239" s="22"/>
      <c r="BO239" s="4"/>
      <c r="BP239" s="4"/>
      <c r="BQ239" s="4"/>
      <c r="BR239" s="4"/>
      <c r="BS239" s="4"/>
      <c r="BT239" s="22"/>
      <c r="BU239" s="24"/>
    </row>
    <row r="240" spans="1:73" ht="73.5" customHeight="1" outlineLevel="2">
      <c r="A240" s="46" t="s">
        <v>246</v>
      </c>
      <c r="B240" s="45" t="s">
        <v>507</v>
      </c>
      <c r="C240" s="39">
        <f t="shared" si="42"/>
        <v>47.89783</v>
      </c>
      <c r="D240" s="1">
        <f t="shared" si="40"/>
        <v>30.44793</v>
      </c>
      <c r="E240" s="1">
        <f t="shared" si="41"/>
        <v>17.4499</v>
      </c>
      <c r="F240" s="22"/>
      <c r="G240" s="22"/>
      <c r="H240" s="22"/>
      <c r="I240" s="22"/>
      <c r="J240" s="22"/>
      <c r="K240" s="22"/>
      <c r="L240" s="22"/>
      <c r="M240" s="2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22"/>
      <c r="AA240" s="22"/>
      <c r="AB240" s="23">
        <v>13.72369</v>
      </c>
      <c r="AC240" s="4">
        <v>6.99274</v>
      </c>
      <c r="AD240" s="22"/>
      <c r="AE240" s="22"/>
      <c r="AF240" s="22"/>
      <c r="AG240" s="22"/>
      <c r="AH240" s="20"/>
      <c r="AI240" s="4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4"/>
      <c r="BA240" s="4"/>
      <c r="BB240" s="4"/>
      <c r="BC240" s="22"/>
      <c r="BD240" s="22"/>
      <c r="BE240" s="22"/>
      <c r="BF240" s="22">
        <v>16.72424</v>
      </c>
      <c r="BG240" s="22">
        <v>10.45716</v>
      </c>
      <c r="BH240" s="22"/>
      <c r="BI240" s="22"/>
      <c r="BJ240" s="22"/>
      <c r="BK240" s="22"/>
      <c r="BL240" s="22"/>
      <c r="BM240" s="22"/>
      <c r="BN240" s="22"/>
      <c r="BO240" s="4"/>
      <c r="BP240" s="4"/>
      <c r="BQ240" s="4"/>
      <c r="BR240" s="4"/>
      <c r="BS240" s="4"/>
      <c r="BT240" s="22"/>
      <c r="BU240" s="24"/>
    </row>
    <row r="241" spans="1:73" ht="73.5" customHeight="1" outlineLevel="2">
      <c r="A241" s="46" t="s">
        <v>246</v>
      </c>
      <c r="B241" s="45" t="s">
        <v>269</v>
      </c>
      <c r="C241" s="39">
        <f t="shared" si="42"/>
        <v>1416.50189</v>
      </c>
      <c r="D241" s="1">
        <f t="shared" si="40"/>
        <v>696.5403799999999</v>
      </c>
      <c r="E241" s="1">
        <f t="shared" si="41"/>
        <v>719.96151</v>
      </c>
      <c r="F241" s="22"/>
      <c r="G241" s="22"/>
      <c r="H241" s="22"/>
      <c r="I241" s="22"/>
      <c r="J241" s="22"/>
      <c r="K241" s="22"/>
      <c r="L241" s="22">
        <f>149.82951+12.03105</f>
        <v>161.86056</v>
      </c>
      <c r="M241" s="2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22">
        <v>22.58853</v>
      </c>
      <c r="AA241" s="22">
        <v>28.593</v>
      </c>
      <c r="AB241" s="23">
        <v>286.43609</v>
      </c>
      <c r="AC241" s="4">
        <v>136.12533</v>
      </c>
      <c r="AD241" s="22"/>
      <c r="AE241" s="22"/>
      <c r="AF241" s="22"/>
      <c r="AG241" s="22"/>
      <c r="AH241" s="20">
        <f>65.79709+85.45415</f>
        <v>151.25124</v>
      </c>
      <c r="AI241" s="4">
        <v>85.45415</v>
      </c>
      <c r="AJ241" s="22">
        <v>65.79709</v>
      </c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4"/>
      <c r="BA241" s="4"/>
      <c r="BB241" s="4"/>
      <c r="BC241" s="22"/>
      <c r="BD241" s="22"/>
      <c r="BE241" s="22"/>
      <c r="BF241" s="22">
        <v>387.51576</v>
      </c>
      <c r="BG241" s="22">
        <v>242.13138</v>
      </c>
      <c r="BH241" s="22"/>
      <c r="BI241" s="22"/>
      <c r="BJ241" s="22"/>
      <c r="BK241" s="22"/>
      <c r="BL241" s="22"/>
      <c r="BM241" s="22"/>
      <c r="BN241" s="22"/>
      <c r="BO241" s="4"/>
      <c r="BP241" s="4"/>
      <c r="BQ241" s="4"/>
      <c r="BR241" s="4"/>
      <c r="BS241" s="4"/>
      <c r="BT241" s="22"/>
      <c r="BU241" s="24"/>
    </row>
    <row r="242" spans="1:73" ht="73.5" customHeight="1" outlineLevel="2">
      <c r="A242" s="46" t="s">
        <v>246</v>
      </c>
      <c r="B242" s="45" t="s">
        <v>35</v>
      </c>
      <c r="C242" s="39">
        <f t="shared" si="42"/>
        <v>1247.00067</v>
      </c>
      <c r="D242" s="1">
        <f t="shared" si="40"/>
        <v>792.83313</v>
      </c>
      <c r="E242" s="1">
        <f t="shared" si="41"/>
        <v>454.16754000000003</v>
      </c>
      <c r="F242" s="22"/>
      <c r="G242" s="22"/>
      <c r="H242" s="22"/>
      <c r="I242" s="22"/>
      <c r="J242" s="22">
        <v>43.45684</v>
      </c>
      <c r="K242" s="22">
        <v>9.25177</v>
      </c>
      <c r="L242" s="22"/>
      <c r="M242" s="2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22">
        <v>180</v>
      </c>
      <c r="AA242" s="22">
        <v>95.5395</v>
      </c>
      <c r="AB242" s="23">
        <v>240.74173</v>
      </c>
      <c r="AC242" s="4">
        <v>115.3802</v>
      </c>
      <c r="AD242" s="22"/>
      <c r="AE242" s="22"/>
      <c r="AF242" s="22"/>
      <c r="AG242" s="22"/>
      <c r="AH242" s="20">
        <f>14.4531+13.86695</f>
        <v>28.32005</v>
      </c>
      <c r="AI242" s="4">
        <v>13.86695</v>
      </c>
      <c r="AJ242" s="22">
        <v>14.4531</v>
      </c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4"/>
      <c r="BA242" s="4"/>
      <c r="BB242" s="4"/>
      <c r="BC242" s="22"/>
      <c r="BD242" s="22"/>
      <c r="BE242" s="22"/>
      <c r="BF242" s="22">
        <v>328.63456</v>
      </c>
      <c r="BG242" s="22">
        <v>205.67602</v>
      </c>
      <c r="BH242" s="22"/>
      <c r="BI242" s="22"/>
      <c r="BJ242" s="22"/>
      <c r="BK242" s="22"/>
      <c r="BL242" s="22"/>
      <c r="BM242" s="22"/>
      <c r="BN242" s="22"/>
      <c r="BO242" s="4"/>
      <c r="BP242" s="4"/>
      <c r="BQ242" s="4"/>
      <c r="BR242" s="4"/>
      <c r="BS242" s="4"/>
      <c r="BT242" s="22"/>
      <c r="BU242" s="24"/>
    </row>
    <row r="243" spans="1:73" ht="73.5" customHeight="1" outlineLevel="2">
      <c r="A243" s="46" t="s">
        <v>246</v>
      </c>
      <c r="B243" s="45" t="s">
        <v>121</v>
      </c>
      <c r="C243" s="39">
        <f t="shared" si="42"/>
        <v>4298.62961</v>
      </c>
      <c r="D243" s="1">
        <f t="shared" si="40"/>
        <v>2082.67763</v>
      </c>
      <c r="E243" s="1">
        <f t="shared" si="41"/>
        <v>2215.95198</v>
      </c>
      <c r="F243" s="22"/>
      <c r="G243" s="22"/>
      <c r="H243" s="22"/>
      <c r="I243" s="22"/>
      <c r="J243" s="22">
        <v>101.51789</v>
      </c>
      <c r="K243" s="22">
        <v>21.14839</v>
      </c>
      <c r="L243" s="22"/>
      <c r="M243" s="22"/>
      <c r="N243" s="4"/>
      <c r="O243" s="4"/>
      <c r="P243" s="4"/>
      <c r="Q243" s="4"/>
      <c r="R243" s="4">
        <v>232.72898</v>
      </c>
      <c r="S243" s="4">
        <v>223.15494</v>
      </c>
      <c r="T243" s="4"/>
      <c r="U243" s="4"/>
      <c r="V243" s="4"/>
      <c r="W243" s="4"/>
      <c r="X243" s="4"/>
      <c r="Y243" s="4"/>
      <c r="Z243" s="22">
        <v>46.91463</v>
      </c>
      <c r="AA243" s="22">
        <v>102.546</v>
      </c>
      <c r="AB243" s="23">
        <v>689.93282</v>
      </c>
      <c r="AC243" s="4">
        <v>349.63698</v>
      </c>
      <c r="AD243" s="22"/>
      <c r="AE243" s="22"/>
      <c r="AF243" s="22"/>
      <c r="AG243" s="22"/>
      <c r="AH243" s="20">
        <f>158.63408+209.5125</f>
        <v>368.14658</v>
      </c>
      <c r="AI243" s="4">
        <v>209.5125</v>
      </c>
      <c r="AJ243" s="22">
        <v>158.63408</v>
      </c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4"/>
      <c r="BA243" s="4"/>
      <c r="BB243" s="4"/>
      <c r="BC243" s="22"/>
      <c r="BD243" s="22">
        <v>167.34165</v>
      </c>
      <c r="BE243" s="22">
        <v>351.57488</v>
      </c>
      <c r="BF243" s="22">
        <v>1011.58331</v>
      </c>
      <c r="BG243" s="22">
        <v>632.40256</v>
      </c>
      <c r="BH243" s="22"/>
      <c r="BI243" s="22"/>
      <c r="BJ243" s="22"/>
      <c r="BK243" s="22"/>
      <c r="BL243" s="22"/>
      <c r="BM243" s="22"/>
      <c r="BN243" s="22"/>
      <c r="BO243" s="4"/>
      <c r="BP243" s="4"/>
      <c r="BQ243" s="4"/>
      <c r="BR243" s="4"/>
      <c r="BS243" s="4"/>
      <c r="BT243" s="22"/>
      <c r="BU243" s="24"/>
    </row>
    <row r="244" spans="1:73" ht="73.5" customHeight="1" outlineLevel="2">
      <c r="A244" s="46" t="s">
        <v>246</v>
      </c>
      <c r="B244" s="45" t="s">
        <v>760</v>
      </c>
      <c r="C244" s="39">
        <f t="shared" si="42"/>
        <v>5272.75631</v>
      </c>
      <c r="D244" s="1">
        <f t="shared" si="40"/>
        <v>2664.4446199999998</v>
      </c>
      <c r="E244" s="1">
        <f t="shared" si="41"/>
        <v>2608.31169</v>
      </c>
      <c r="F244" s="22"/>
      <c r="G244" s="22"/>
      <c r="H244" s="22"/>
      <c r="I244" s="22"/>
      <c r="J244" s="22"/>
      <c r="K244" s="22"/>
      <c r="L244" s="22"/>
      <c r="M244" s="2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22">
        <v>14.07439</v>
      </c>
      <c r="AA244" s="22">
        <v>19.3185</v>
      </c>
      <c r="AB244" s="23">
        <v>523.49893</v>
      </c>
      <c r="AC244" s="4">
        <v>256.40045</v>
      </c>
      <c r="AD244" s="22"/>
      <c r="AE244" s="22"/>
      <c r="AF244" s="22"/>
      <c r="AG244" s="22"/>
      <c r="AH244" s="20">
        <v>1.80266</v>
      </c>
      <c r="AI244" s="4"/>
      <c r="AJ244" s="20">
        <v>1.80266</v>
      </c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>
        <v>1236.62252</v>
      </c>
      <c r="AZ244" s="4"/>
      <c r="BA244" s="4"/>
      <c r="BB244" s="4"/>
      <c r="BC244" s="22"/>
      <c r="BD244" s="22"/>
      <c r="BE244" s="22">
        <v>1771.4711</v>
      </c>
      <c r="BF244" s="22">
        <f>444.85959+445.38919</f>
        <v>890.24878</v>
      </c>
      <c r="BG244" s="22">
        <v>559.31898</v>
      </c>
      <c r="BH244" s="22"/>
      <c r="BI244" s="22"/>
      <c r="BJ244" s="22"/>
      <c r="BK244" s="22"/>
      <c r="BL244" s="22"/>
      <c r="BM244" s="22"/>
      <c r="BN244" s="22"/>
      <c r="BO244" s="4"/>
      <c r="BP244" s="4"/>
      <c r="BQ244" s="4"/>
      <c r="BR244" s="4"/>
      <c r="BS244" s="4"/>
      <c r="BT244" s="22"/>
      <c r="BU244" s="24"/>
    </row>
    <row r="245" spans="1:73" ht="73.5" customHeight="1" outlineLevel="2">
      <c r="A245" s="46" t="s">
        <v>246</v>
      </c>
      <c r="B245" s="45" t="s">
        <v>39</v>
      </c>
      <c r="C245" s="39">
        <f t="shared" si="42"/>
        <v>8027.150599999999</v>
      </c>
      <c r="D245" s="1">
        <f t="shared" si="40"/>
        <v>3843.2686499999995</v>
      </c>
      <c r="E245" s="1">
        <f t="shared" si="41"/>
        <v>4183.88195</v>
      </c>
      <c r="F245" s="22"/>
      <c r="G245" s="22"/>
      <c r="H245" s="22">
        <v>201.34132</v>
      </c>
      <c r="I245" s="22">
        <f>74.80964+35.85263</f>
        <v>110.66227</v>
      </c>
      <c r="J245" s="22">
        <v>1219.22004</v>
      </c>
      <c r="K245" s="22">
        <v>580.52208</v>
      </c>
      <c r="L245" s="22">
        <f>9.37818+210.00866</f>
        <v>219.38684</v>
      </c>
      <c r="M245" s="22"/>
      <c r="N245" s="4"/>
      <c r="O245" s="4"/>
      <c r="P245" s="4"/>
      <c r="Q245" s="4"/>
      <c r="R245" s="4">
        <v>38.95174</v>
      </c>
      <c r="S245" s="4">
        <v>43.77155</v>
      </c>
      <c r="T245" s="4"/>
      <c r="U245" s="4"/>
      <c r="V245" s="4"/>
      <c r="W245" s="4"/>
      <c r="X245" s="4"/>
      <c r="Y245" s="4"/>
      <c r="Z245" s="22">
        <v>65.85424</v>
      </c>
      <c r="AA245" s="22">
        <v>90.5175</v>
      </c>
      <c r="AB245" s="23">
        <v>813.32357</v>
      </c>
      <c r="AC245" s="4">
        <v>392.52578</v>
      </c>
      <c r="AD245" s="22"/>
      <c r="AE245" s="22"/>
      <c r="AF245" s="22"/>
      <c r="AG245" s="22"/>
      <c r="AH245" s="20">
        <f>289.062+286.7209</f>
        <v>575.7828999999999</v>
      </c>
      <c r="AI245" s="4">
        <v>286.7209</v>
      </c>
      <c r="AJ245" s="22">
        <v>289.062</v>
      </c>
      <c r="AK245" s="22"/>
      <c r="AL245" s="22"/>
      <c r="AM245" s="22"/>
      <c r="AN245" s="22"/>
      <c r="AO245" s="22"/>
      <c r="AP245" s="22"/>
      <c r="AQ245" s="22">
        <v>60.875</v>
      </c>
      <c r="AR245" s="22"/>
      <c r="AS245" s="22"/>
      <c r="AT245" s="22"/>
      <c r="AU245" s="22"/>
      <c r="AV245" s="22"/>
      <c r="AW245" s="22"/>
      <c r="AX245" s="22"/>
      <c r="AY245" s="22"/>
      <c r="AZ245" s="4"/>
      <c r="BA245" s="4"/>
      <c r="BB245" s="4"/>
      <c r="BC245" s="22"/>
      <c r="BD245" s="22">
        <v>296.0426</v>
      </c>
      <c r="BE245" s="22">
        <v>369</v>
      </c>
      <c r="BF245" s="22">
        <v>1504.57774</v>
      </c>
      <c r="BG245" s="22">
        <v>939.32776</v>
      </c>
      <c r="BH245" s="22"/>
      <c r="BI245" s="22"/>
      <c r="BJ245" s="22">
        <v>505.46767</v>
      </c>
      <c r="BK245" s="22"/>
      <c r="BL245" s="22"/>
      <c r="BM245" s="22"/>
      <c r="BN245" s="22"/>
      <c r="BO245" s="4"/>
      <c r="BP245" s="4"/>
      <c r="BQ245" s="4"/>
      <c r="BR245" s="4"/>
      <c r="BS245" s="4"/>
      <c r="BT245" s="22"/>
      <c r="BU245" s="24"/>
    </row>
    <row r="246" spans="1:73" ht="73.5" customHeight="1" outlineLevel="2">
      <c r="A246" s="46" t="s">
        <v>246</v>
      </c>
      <c r="B246" s="45" t="s">
        <v>461</v>
      </c>
      <c r="C246" s="39">
        <f t="shared" si="42"/>
        <v>223.64175999999998</v>
      </c>
      <c r="D246" s="1">
        <f t="shared" si="40"/>
        <v>167.34927</v>
      </c>
      <c r="E246" s="1">
        <f t="shared" si="41"/>
        <v>56.29249</v>
      </c>
      <c r="F246" s="22"/>
      <c r="G246" s="22"/>
      <c r="H246" s="22"/>
      <c r="I246" s="22"/>
      <c r="J246" s="22"/>
      <c r="K246" s="22"/>
      <c r="L246" s="22"/>
      <c r="M246" s="2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22"/>
      <c r="AA246" s="22"/>
      <c r="AB246" s="23">
        <v>92.31984</v>
      </c>
      <c r="AC246" s="4">
        <v>40.79098</v>
      </c>
      <c r="AD246" s="22"/>
      <c r="AE246" s="22"/>
      <c r="AF246" s="22"/>
      <c r="AG246" s="22"/>
      <c r="AH246" s="20"/>
      <c r="AI246" s="4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4"/>
      <c r="BA246" s="4"/>
      <c r="BB246" s="4"/>
      <c r="BC246" s="22"/>
      <c r="BD246" s="22"/>
      <c r="BE246" s="22"/>
      <c r="BF246" s="22">
        <v>75.02943</v>
      </c>
      <c r="BG246" s="22">
        <v>15.50151</v>
      </c>
      <c r="BH246" s="22"/>
      <c r="BI246" s="22"/>
      <c r="BJ246" s="22"/>
      <c r="BK246" s="22"/>
      <c r="BL246" s="22"/>
      <c r="BM246" s="22"/>
      <c r="BN246" s="22"/>
      <c r="BO246" s="4"/>
      <c r="BP246" s="4"/>
      <c r="BQ246" s="4"/>
      <c r="BR246" s="4"/>
      <c r="BS246" s="4"/>
      <c r="BT246" s="22"/>
      <c r="BU246" s="24"/>
    </row>
    <row r="247" spans="1:73" ht="73.5" customHeight="1" outlineLevel="2">
      <c r="A247" s="46" t="s">
        <v>246</v>
      </c>
      <c r="B247" s="45" t="s">
        <v>40</v>
      </c>
      <c r="C247" s="39">
        <f t="shared" si="42"/>
        <v>3575.08958</v>
      </c>
      <c r="D247" s="1">
        <f t="shared" si="40"/>
        <v>2292.62934</v>
      </c>
      <c r="E247" s="1">
        <f t="shared" si="41"/>
        <v>1282.4602399999999</v>
      </c>
      <c r="F247" s="22"/>
      <c r="G247" s="22"/>
      <c r="H247" s="22"/>
      <c r="I247" s="22"/>
      <c r="J247" s="22"/>
      <c r="K247" s="22"/>
      <c r="L247" s="22"/>
      <c r="M247" s="2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22"/>
      <c r="AA247" s="22"/>
      <c r="AB247" s="23">
        <v>619.63043</v>
      </c>
      <c r="AC247" s="4">
        <v>303.01871</v>
      </c>
      <c r="AD247" s="22"/>
      <c r="AE247" s="22"/>
      <c r="AF247" s="22"/>
      <c r="AG247" s="22"/>
      <c r="AH247" s="20"/>
      <c r="AI247" s="4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>
        <v>534.59003</v>
      </c>
      <c r="AZ247" s="4">
        <v>266.27661</v>
      </c>
      <c r="BA247" s="4"/>
      <c r="BB247" s="4"/>
      <c r="BC247" s="22"/>
      <c r="BD247" s="22"/>
      <c r="BE247" s="22"/>
      <c r="BF247" s="22">
        <v>1138.40888</v>
      </c>
      <c r="BG247" s="22">
        <v>713.16492</v>
      </c>
      <c r="BH247" s="22"/>
      <c r="BI247" s="22"/>
      <c r="BJ247" s="22"/>
      <c r="BK247" s="22"/>
      <c r="BL247" s="22"/>
      <c r="BM247" s="22"/>
      <c r="BN247" s="22"/>
      <c r="BO247" s="4"/>
      <c r="BP247" s="4"/>
      <c r="BQ247" s="4"/>
      <c r="BR247" s="4"/>
      <c r="BS247" s="4"/>
      <c r="BT247" s="22"/>
      <c r="BU247" s="24"/>
    </row>
    <row r="248" spans="1:73" ht="73.5" customHeight="1" outlineLevel="2">
      <c r="A248" s="46" t="s">
        <v>246</v>
      </c>
      <c r="B248" s="45" t="s">
        <v>270</v>
      </c>
      <c r="C248" s="39">
        <f t="shared" si="42"/>
        <v>2598.80837</v>
      </c>
      <c r="D248" s="1">
        <f t="shared" si="40"/>
        <v>1414.6063100000001</v>
      </c>
      <c r="E248" s="1">
        <f t="shared" si="41"/>
        <v>1184.20206</v>
      </c>
      <c r="F248" s="22"/>
      <c r="G248" s="22"/>
      <c r="H248" s="22">
        <v>123.221</v>
      </c>
      <c r="I248" s="22">
        <v>44.80764</v>
      </c>
      <c r="J248" s="22">
        <v>73.61908</v>
      </c>
      <c r="K248" s="22">
        <v>26.43396</v>
      </c>
      <c r="L248" s="22"/>
      <c r="M248" s="2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22"/>
      <c r="AA248" s="22">
        <v>23.22</v>
      </c>
      <c r="AB248" s="23">
        <v>279.64605</v>
      </c>
      <c r="AC248" s="4">
        <v>125.86931</v>
      </c>
      <c r="AD248" s="22"/>
      <c r="AE248" s="22"/>
      <c r="AF248" s="22"/>
      <c r="AG248" s="22"/>
      <c r="AH248" s="20">
        <f>49.57315+60.7169</f>
        <v>110.29005000000001</v>
      </c>
      <c r="AI248" s="4">
        <v>60.7169</v>
      </c>
      <c r="AJ248" s="22">
        <v>49.57315</v>
      </c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>
        <v>516.1457</v>
      </c>
      <c r="AZ248" s="4">
        <v>158.72911</v>
      </c>
      <c r="BA248" s="4"/>
      <c r="BB248" s="4"/>
      <c r="BC248" s="22"/>
      <c r="BD248" s="22">
        <v>49.8792</v>
      </c>
      <c r="BE248" s="22">
        <v>381</v>
      </c>
      <c r="BF248" s="22">
        <v>421.97448</v>
      </c>
      <c r="BG248" s="22">
        <v>263.97279</v>
      </c>
      <c r="BH248" s="22"/>
      <c r="BI248" s="22"/>
      <c r="BJ248" s="22"/>
      <c r="BK248" s="22"/>
      <c r="BL248" s="22"/>
      <c r="BM248" s="22"/>
      <c r="BN248" s="22"/>
      <c r="BO248" s="4"/>
      <c r="BP248" s="4"/>
      <c r="BQ248" s="4"/>
      <c r="BR248" s="4"/>
      <c r="BS248" s="4"/>
      <c r="BT248" s="22"/>
      <c r="BU248" s="24"/>
    </row>
    <row r="249" spans="1:73" ht="73.5" customHeight="1" outlineLevel="2">
      <c r="A249" s="46" t="s">
        <v>246</v>
      </c>
      <c r="B249" s="45" t="s">
        <v>41</v>
      </c>
      <c r="C249" s="39">
        <f t="shared" si="42"/>
        <v>9361.6737</v>
      </c>
      <c r="D249" s="1">
        <f t="shared" si="40"/>
        <v>4385.49263</v>
      </c>
      <c r="E249" s="1">
        <f t="shared" si="41"/>
        <v>4976.18107</v>
      </c>
      <c r="F249" s="22"/>
      <c r="G249" s="22"/>
      <c r="H249" s="22"/>
      <c r="I249" s="22"/>
      <c r="J249" s="22">
        <v>90.28351</v>
      </c>
      <c r="K249" s="22">
        <v>27.61557</v>
      </c>
      <c r="L249" s="22"/>
      <c r="M249" s="22"/>
      <c r="N249" s="4"/>
      <c r="O249" s="4"/>
      <c r="P249" s="4"/>
      <c r="Q249" s="4"/>
      <c r="R249" s="4">
        <v>244.16245</v>
      </c>
      <c r="S249" s="4">
        <v>272.38946</v>
      </c>
      <c r="T249" s="4"/>
      <c r="U249" s="4"/>
      <c r="V249" s="4"/>
      <c r="W249" s="4"/>
      <c r="X249" s="4"/>
      <c r="Y249" s="4"/>
      <c r="Z249" s="22">
        <v>270</v>
      </c>
      <c r="AA249" s="22">
        <v>143.289</v>
      </c>
      <c r="AB249" s="23">
        <v>1753.69342</v>
      </c>
      <c r="AC249" s="4">
        <v>757.54679</v>
      </c>
      <c r="AD249" s="22"/>
      <c r="AE249" s="22"/>
      <c r="AF249" s="22"/>
      <c r="AG249" s="22"/>
      <c r="AH249" s="20">
        <f>370.44663+477.11735</f>
        <v>847.56398</v>
      </c>
      <c r="AI249" s="4">
        <v>477.11735</v>
      </c>
      <c r="AJ249" s="22">
        <v>370.44663</v>
      </c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4"/>
      <c r="BA249" s="4"/>
      <c r="BB249" s="4"/>
      <c r="BC249" s="22"/>
      <c r="BD249" s="22"/>
      <c r="BE249" s="22">
        <v>1660.65</v>
      </c>
      <c r="BF249" s="22">
        <v>2027.35325</v>
      </c>
      <c r="BG249" s="22">
        <v>1267.12627</v>
      </c>
      <c r="BH249" s="22"/>
      <c r="BI249" s="22"/>
      <c r="BJ249" s="22"/>
      <c r="BK249" s="22"/>
      <c r="BL249" s="22"/>
      <c r="BM249" s="22"/>
      <c r="BN249" s="22"/>
      <c r="BO249" s="4"/>
      <c r="BP249" s="4"/>
      <c r="BQ249" s="4"/>
      <c r="BR249" s="4"/>
      <c r="BS249" s="4"/>
      <c r="BT249" s="22"/>
      <c r="BU249" s="24"/>
    </row>
    <row r="250" spans="1:73" ht="73.5" customHeight="1" outlineLevel="2">
      <c r="A250" s="46" t="s">
        <v>246</v>
      </c>
      <c r="B250" s="45" t="s">
        <v>394</v>
      </c>
      <c r="C250" s="39">
        <f t="shared" si="42"/>
        <v>476.60751</v>
      </c>
      <c r="D250" s="1">
        <f t="shared" si="40"/>
        <v>149.99912</v>
      </c>
      <c r="E250" s="1">
        <f t="shared" si="41"/>
        <v>326.60839</v>
      </c>
      <c r="F250" s="22"/>
      <c r="G250" s="22"/>
      <c r="H250" s="22"/>
      <c r="I250" s="22"/>
      <c r="J250" s="22"/>
      <c r="K250" s="22"/>
      <c r="L250" s="22"/>
      <c r="M250" s="2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22"/>
      <c r="AA250" s="22"/>
      <c r="AB250" s="23"/>
      <c r="AC250" s="4"/>
      <c r="AD250" s="22"/>
      <c r="AE250" s="22"/>
      <c r="AF250" s="22"/>
      <c r="AG250" s="22"/>
      <c r="AH250" s="20"/>
      <c r="AI250" s="4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4"/>
      <c r="BA250" s="4"/>
      <c r="BB250" s="4"/>
      <c r="BC250" s="22"/>
      <c r="BD250" s="22">
        <v>233.26835</v>
      </c>
      <c r="BE250" s="22"/>
      <c r="BF250" s="22">
        <v>149.99912</v>
      </c>
      <c r="BG250" s="22">
        <v>93.34004</v>
      </c>
      <c r="BH250" s="22"/>
      <c r="BI250" s="22"/>
      <c r="BJ250" s="22"/>
      <c r="BK250" s="22"/>
      <c r="BL250" s="22"/>
      <c r="BM250" s="22"/>
      <c r="BN250" s="22"/>
      <c r="BO250" s="4"/>
      <c r="BP250" s="4"/>
      <c r="BQ250" s="4"/>
      <c r="BR250" s="4"/>
      <c r="BS250" s="4"/>
      <c r="BT250" s="22"/>
      <c r="BU250" s="24"/>
    </row>
    <row r="251" spans="1:73" ht="73.5" customHeight="1" outlineLevel="2">
      <c r="A251" s="46" t="s">
        <v>246</v>
      </c>
      <c r="B251" s="45" t="s">
        <v>437</v>
      </c>
      <c r="C251" s="39">
        <f t="shared" si="42"/>
        <v>1742.27459</v>
      </c>
      <c r="D251" s="1">
        <f t="shared" si="40"/>
        <v>918.9972599999999</v>
      </c>
      <c r="E251" s="1">
        <f t="shared" si="41"/>
        <v>823.27733</v>
      </c>
      <c r="F251" s="22"/>
      <c r="G251" s="22"/>
      <c r="H251" s="22"/>
      <c r="I251" s="22"/>
      <c r="J251" s="22">
        <v>290.2491</v>
      </c>
      <c r="K251" s="22">
        <v>100.56463</v>
      </c>
      <c r="L251" s="22"/>
      <c r="M251" s="2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22">
        <v>19.11337</v>
      </c>
      <c r="AA251" s="22">
        <v>26.2845</v>
      </c>
      <c r="AB251" s="23">
        <v>267.30254</v>
      </c>
      <c r="AC251" s="4">
        <v>116.54566</v>
      </c>
      <c r="AD251" s="22"/>
      <c r="AE251" s="22"/>
      <c r="AF251" s="22"/>
      <c r="AG251" s="22"/>
      <c r="AH251" s="20">
        <f>58.58645+71.5872</f>
        <v>130.17365</v>
      </c>
      <c r="AI251" s="4">
        <v>71.5872</v>
      </c>
      <c r="AJ251" s="22">
        <v>58.58645</v>
      </c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4"/>
      <c r="BA251" s="4"/>
      <c r="BB251" s="4"/>
      <c r="BC251" s="22"/>
      <c r="BD251" s="22"/>
      <c r="BE251" s="22">
        <v>235.52316</v>
      </c>
      <c r="BF251" s="22">
        <v>342.33225</v>
      </c>
      <c r="BG251" s="22">
        <v>214.18573</v>
      </c>
      <c r="BH251" s="22"/>
      <c r="BI251" s="22"/>
      <c r="BJ251" s="22"/>
      <c r="BK251" s="22"/>
      <c r="BL251" s="22"/>
      <c r="BM251" s="22"/>
      <c r="BN251" s="22"/>
      <c r="BO251" s="4"/>
      <c r="BP251" s="4"/>
      <c r="BQ251" s="4"/>
      <c r="BR251" s="4"/>
      <c r="BS251" s="4"/>
      <c r="BT251" s="22"/>
      <c r="BU251" s="24"/>
    </row>
    <row r="252" spans="1:73" ht="73.5" customHeight="1" outlineLevel="2">
      <c r="A252" s="46" t="s">
        <v>246</v>
      </c>
      <c r="B252" s="45" t="s">
        <v>502</v>
      </c>
      <c r="C252" s="39">
        <f t="shared" si="42"/>
        <v>38.616440000000004</v>
      </c>
      <c r="D252" s="1">
        <f t="shared" si="40"/>
        <v>24.477780000000003</v>
      </c>
      <c r="E252" s="1">
        <f t="shared" si="41"/>
        <v>14.13866</v>
      </c>
      <c r="F252" s="22"/>
      <c r="G252" s="22"/>
      <c r="H252" s="22"/>
      <c r="I252" s="22"/>
      <c r="J252" s="22"/>
      <c r="K252" s="22"/>
      <c r="L252" s="22"/>
      <c r="M252" s="2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22"/>
      <c r="AA252" s="22"/>
      <c r="AB252" s="23">
        <v>11.19237</v>
      </c>
      <c r="AC252" s="4">
        <v>5.82728</v>
      </c>
      <c r="AD252" s="22"/>
      <c r="AE252" s="22"/>
      <c r="AF252" s="22"/>
      <c r="AG252" s="22"/>
      <c r="AH252" s="20"/>
      <c r="AI252" s="4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4"/>
      <c r="BA252" s="4"/>
      <c r="BB252" s="4"/>
      <c r="BC252" s="22"/>
      <c r="BD252" s="22"/>
      <c r="BE252" s="22"/>
      <c r="BF252" s="22">
        <v>13.28541</v>
      </c>
      <c r="BG252" s="22">
        <v>8.31138</v>
      </c>
      <c r="BH252" s="22"/>
      <c r="BI252" s="22"/>
      <c r="BJ252" s="22"/>
      <c r="BK252" s="22"/>
      <c r="BL252" s="22"/>
      <c r="BM252" s="22"/>
      <c r="BN252" s="22"/>
      <c r="BO252" s="4"/>
      <c r="BP252" s="4"/>
      <c r="BQ252" s="4"/>
      <c r="BR252" s="4"/>
      <c r="BS252" s="4"/>
      <c r="BT252" s="22"/>
      <c r="BU252" s="24"/>
    </row>
    <row r="253" spans="1:73" ht="73.5" customHeight="1" outlineLevel="2">
      <c r="A253" s="26" t="s">
        <v>246</v>
      </c>
      <c r="B253" s="45" t="s">
        <v>444</v>
      </c>
      <c r="C253" s="39">
        <f t="shared" si="42"/>
        <v>42.93319</v>
      </c>
      <c r="D253" s="1">
        <f t="shared" si="40"/>
        <v>27.198770000000003</v>
      </c>
      <c r="E253" s="1">
        <f t="shared" si="41"/>
        <v>15.73442</v>
      </c>
      <c r="F253" s="22"/>
      <c r="G253" s="22"/>
      <c r="H253" s="22"/>
      <c r="I253" s="22"/>
      <c r="J253" s="22"/>
      <c r="K253" s="22"/>
      <c r="L253" s="22"/>
      <c r="M253" s="22"/>
      <c r="N253" s="4">
        <v>1.15107</v>
      </c>
      <c r="O253" s="4">
        <v>0.42114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22"/>
      <c r="AA253" s="22"/>
      <c r="AB253" s="4">
        <v>8.94824</v>
      </c>
      <c r="AC253" s="4">
        <v>4.66183</v>
      </c>
      <c r="AD253" s="22"/>
      <c r="AE253" s="22"/>
      <c r="AF253" s="22"/>
      <c r="AG253" s="22"/>
      <c r="AH253" s="20"/>
      <c r="AI253" s="4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4"/>
      <c r="BA253" s="4"/>
      <c r="BB253" s="4"/>
      <c r="BC253" s="22"/>
      <c r="BD253" s="22"/>
      <c r="BE253" s="22"/>
      <c r="BF253" s="22">
        <v>17.09946</v>
      </c>
      <c r="BG253" s="22">
        <v>10.65145</v>
      </c>
      <c r="BH253" s="22"/>
      <c r="BI253" s="22"/>
      <c r="BJ253" s="22"/>
      <c r="BK253" s="22"/>
      <c r="BL253" s="22"/>
      <c r="BM253" s="22"/>
      <c r="BN253" s="22"/>
      <c r="BO253" s="4"/>
      <c r="BP253" s="4"/>
      <c r="BQ253" s="4"/>
      <c r="BR253" s="4"/>
      <c r="BS253" s="4"/>
      <c r="BT253" s="22"/>
      <c r="BU253" s="24"/>
    </row>
    <row r="254" spans="1:73" ht="73.5" customHeight="1" outlineLevel="2">
      <c r="A254" s="26" t="s">
        <v>246</v>
      </c>
      <c r="B254" s="45" t="s">
        <v>80</v>
      </c>
      <c r="C254" s="39">
        <f t="shared" si="42"/>
        <v>161.1173</v>
      </c>
      <c r="D254" s="1">
        <f t="shared" si="40"/>
        <v>102.49307</v>
      </c>
      <c r="E254" s="1">
        <f t="shared" si="41"/>
        <v>58.62423</v>
      </c>
      <c r="F254" s="22"/>
      <c r="G254" s="22"/>
      <c r="H254" s="22"/>
      <c r="I254" s="22"/>
      <c r="J254" s="22"/>
      <c r="K254" s="22"/>
      <c r="L254" s="22"/>
      <c r="M254" s="2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22"/>
      <c r="AA254" s="22"/>
      <c r="AB254" s="23">
        <v>46.00526</v>
      </c>
      <c r="AC254" s="4">
        <v>23.30913</v>
      </c>
      <c r="AD254" s="22"/>
      <c r="AE254" s="22"/>
      <c r="AF254" s="22"/>
      <c r="AG254" s="22"/>
      <c r="AH254" s="20"/>
      <c r="AI254" s="4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4"/>
      <c r="BA254" s="4"/>
      <c r="BB254" s="4"/>
      <c r="BC254" s="22"/>
      <c r="BD254" s="22"/>
      <c r="BE254" s="22"/>
      <c r="BF254" s="22">
        <v>56.48781</v>
      </c>
      <c r="BG254" s="22">
        <v>35.3151</v>
      </c>
      <c r="BH254" s="22"/>
      <c r="BI254" s="22"/>
      <c r="BJ254" s="22"/>
      <c r="BK254" s="22"/>
      <c r="BL254" s="22"/>
      <c r="BM254" s="22"/>
      <c r="BN254" s="22"/>
      <c r="BO254" s="4"/>
      <c r="BP254" s="4"/>
      <c r="BQ254" s="4"/>
      <c r="BR254" s="4"/>
      <c r="BS254" s="4"/>
      <c r="BT254" s="22"/>
      <c r="BU254" s="24"/>
    </row>
    <row r="255" spans="1:73" ht="73.5" customHeight="1" outlineLevel="2">
      <c r="A255" s="26" t="s">
        <v>246</v>
      </c>
      <c r="B255" s="45" t="s">
        <v>81</v>
      </c>
      <c r="C255" s="39">
        <f t="shared" si="42"/>
        <v>47.56147</v>
      </c>
      <c r="D255" s="1">
        <f t="shared" si="40"/>
        <v>30.27676</v>
      </c>
      <c r="E255" s="1">
        <f t="shared" si="41"/>
        <v>17.28471</v>
      </c>
      <c r="F255" s="22"/>
      <c r="G255" s="22"/>
      <c r="H255" s="22"/>
      <c r="I255" s="22"/>
      <c r="J255" s="22"/>
      <c r="K255" s="22"/>
      <c r="L255" s="22"/>
      <c r="M255" s="2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22"/>
      <c r="AA255" s="22"/>
      <c r="AB255" s="23">
        <v>13.0506</v>
      </c>
      <c r="AC255" s="4">
        <v>6.52656</v>
      </c>
      <c r="AD255" s="22"/>
      <c r="AE255" s="22"/>
      <c r="AF255" s="22"/>
      <c r="AG255" s="22"/>
      <c r="AH255" s="20"/>
      <c r="AI255" s="4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4"/>
      <c r="BA255" s="4"/>
      <c r="BB255" s="4"/>
      <c r="BC255" s="22"/>
      <c r="BD255" s="22"/>
      <c r="BE255" s="22"/>
      <c r="BF255" s="22">
        <v>17.22616</v>
      </c>
      <c r="BG255" s="22">
        <v>10.75815</v>
      </c>
      <c r="BH255" s="22"/>
      <c r="BI255" s="22"/>
      <c r="BJ255" s="22"/>
      <c r="BK255" s="22"/>
      <c r="BL255" s="22"/>
      <c r="BM255" s="22"/>
      <c r="BN255" s="22"/>
      <c r="BO255" s="4"/>
      <c r="BP255" s="4"/>
      <c r="BQ255" s="4"/>
      <c r="BR255" s="4"/>
      <c r="BS255" s="4"/>
      <c r="BT255" s="22"/>
      <c r="BU255" s="24"/>
    </row>
    <row r="256" spans="1:73" ht="73.5" customHeight="1" outlineLevel="2">
      <c r="A256" s="46" t="s">
        <v>246</v>
      </c>
      <c r="B256" s="45" t="s">
        <v>137</v>
      </c>
      <c r="C256" s="39">
        <f t="shared" si="42"/>
        <v>89.32346</v>
      </c>
      <c r="D256" s="1">
        <f t="shared" si="40"/>
        <v>56.89635</v>
      </c>
      <c r="E256" s="1">
        <f t="shared" si="41"/>
        <v>32.42711</v>
      </c>
      <c r="F256" s="22"/>
      <c r="G256" s="22"/>
      <c r="H256" s="22"/>
      <c r="I256" s="22"/>
      <c r="J256" s="22"/>
      <c r="K256" s="22"/>
      <c r="L256" s="22"/>
      <c r="M256" s="2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22"/>
      <c r="AA256" s="22"/>
      <c r="AB256" s="23">
        <v>25.50035</v>
      </c>
      <c r="AC256" s="4">
        <v>12.82002</v>
      </c>
      <c r="AD256" s="22"/>
      <c r="AE256" s="22"/>
      <c r="AF256" s="22"/>
      <c r="AG256" s="22"/>
      <c r="AH256" s="20"/>
      <c r="AI256" s="4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4"/>
      <c r="BA256" s="4"/>
      <c r="BB256" s="4"/>
      <c r="BC256" s="22"/>
      <c r="BD256" s="22"/>
      <c r="BE256" s="22"/>
      <c r="BF256" s="22">
        <v>31.396</v>
      </c>
      <c r="BG256" s="22">
        <v>19.60709</v>
      </c>
      <c r="BH256" s="22"/>
      <c r="BI256" s="22"/>
      <c r="BJ256" s="22"/>
      <c r="BK256" s="22"/>
      <c r="BL256" s="22"/>
      <c r="BM256" s="22"/>
      <c r="BN256" s="22"/>
      <c r="BO256" s="4"/>
      <c r="BP256" s="4"/>
      <c r="BQ256" s="4"/>
      <c r="BR256" s="4"/>
      <c r="BS256" s="4"/>
      <c r="BT256" s="22"/>
      <c r="BU256" s="24"/>
    </row>
    <row r="257" spans="1:73" ht="73.5" customHeight="1" outlineLevel="2">
      <c r="A257" s="46" t="s">
        <v>246</v>
      </c>
      <c r="B257" s="45" t="s">
        <v>675</v>
      </c>
      <c r="C257" s="39">
        <f t="shared" si="42"/>
        <v>866.23221</v>
      </c>
      <c r="D257" s="1">
        <f t="shared" si="40"/>
        <v>307.09177</v>
      </c>
      <c r="E257" s="1">
        <f t="shared" si="41"/>
        <v>559.14044</v>
      </c>
      <c r="F257" s="22"/>
      <c r="G257" s="22"/>
      <c r="H257" s="22"/>
      <c r="I257" s="22"/>
      <c r="J257" s="22"/>
      <c r="K257" s="22"/>
      <c r="L257" s="22"/>
      <c r="M257" s="22"/>
      <c r="N257" s="4"/>
      <c r="O257" s="4"/>
      <c r="P257" s="4"/>
      <c r="Q257" s="4"/>
      <c r="R257" s="4">
        <v>19.99331</v>
      </c>
      <c r="S257" s="4">
        <v>28.31827</v>
      </c>
      <c r="T257" s="4"/>
      <c r="U257" s="4"/>
      <c r="V257" s="4"/>
      <c r="W257" s="4"/>
      <c r="X257" s="4"/>
      <c r="Y257" s="4"/>
      <c r="Z257" s="22"/>
      <c r="AA257" s="22"/>
      <c r="AB257" s="23">
        <v>105.53807</v>
      </c>
      <c r="AC257" s="4">
        <v>55.47573</v>
      </c>
      <c r="AD257" s="22"/>
      <c r="AE257" s="22"/>
      <c r="AF257" s="22"/>
      <c r="AG257" s="22"/>
      <c r="AH257" s="20">
        <f>26.13857+44.9696</f>
        <v>71.10817</v>
      </c>
      <c r="AI257" s="4">
        <v>44.9696</v>
      </c>
      <c r="AJ257" s="22">
        <v>26.13857</v>
      </c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4"/>
      <c r="BA257" s="4"/>
      <c r="BB257" s="4"/>
      <c r="BC257" s="22"/>
      <c r="BD257" s="22"/>
      <c r="BE257" s="22">
        <v>291</v>
      </c>
      <c r="BF257" s="22">
        <v>181.56039</v>
      </c>
      <c r="BG257" s="22">
        <v>113.23827</v>
      </c>
      <c r="BH257" s="22"/>
      <c r="BI257" s="22"/>
      <c r="BJ257" s="22"/>
      <c r="BK257" s="22"/>
      <c r="BL257" s="22"/>
      <c r="BM257" s="22"/>
      <c r="BN257" s="22"/>
      <c r="BO257" s="4"/>
      <c r="BP257" s="4"/>
      <c r="BQ257" s="4"/>
      <c r="BR257" s="4"/>
      <c r="BS257" s="4"/>
      <c r="BT257" s="22"/>
      <c r="BU257" s="24"/>
    </row>
    <row r="258" spans="1:73" ht="73.5" customHeight="1" outlineLevel="2">
      <c r="A258" s="46" t="s">
        <v>246</v>
      </c>
      <c r="B258" s="45" t="s">
        <v>676</v>
      </c>
      <c r="C258" s="39">
        <f t="shared" si="42"/>
        <v>83.44596</v>
      </c>
      <c r="D258" s="1">
        <f t="shared" si="40"/>
        <v>53.294399999999996</v>
      </c>
      <c r="E258" s="1">
        <f t="shared" si="41"/>
        <v>30.151560000000003</v>
      </c>
      <c r="F258" s="22"/>
      <c r="G258" s="22"/>
      <c r="H258" s="22"/>
      <c r="I258" s="22"/>
      <c r="J258" s="22"/>
      <c r="K258" s="22"/>
      <c r="L258" s="22"/>
      <c r="M258" s="2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22"/>
      <c r="AA258" s="22"/>
      <c r="AB258" s="23">
        <v>24.82387</v>
      </c>
      <c r="AC258" s="4">
        <v>12.35384</v>
      </c>
      <c r="AD258" s="22"/>
      <c r="AE258" s="22"/>
      <c r="AF258" s="22"/>
      <c r="AG258" s="22"/>
      <c r="AH258" s="20"/>
      <c r="AI258" s="4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4"/>
      <c r="BA258" s="4"/>
      <c r="BB258" s="4"/>
      <c r="BC258" s="22"/>
      <c r="BD258" s="22"/>
      <c r="BE258" s="22"/>
      <c r="BF258" s="22">
        <v>28.47053</v>
      </c>
      <c r="BG258" s="22">
        <v>17.79772</v>
      </c>
      <c r="BH258" s="22"/>
      <c r="BI258" s="22"/>
      <c r="BJ258" s="22"/>
      <c r="BK258" s="22"/>
      <c r="BL258" s="22"/>
      <c r="BM258" s="22"/>
      <c r="BN258" s="22"/>
      <c r="BO258" s="4"/>
      <c r="BP258" s="4"/>
      <c r="BQ258" s="4"/>
      <c r="BR258" s="4"/>
      <c r="BS258" s="4"/>
      <c r="BT258" s="22"/>
      <c r="BU258" s="24"/>
    </row>
    <row r="259" spans="1:73" ht="73.5" customHeight="1" outlineLevel="2">
      <c r="A259" s="46" t="s">
        <v>246</v>
      </c>
      <c r="B259" s="45" t="s">
        <v>677</v>
      </c>
      <c r="C259" s="39">
        <f t="shared" si="42"/>
        <v>414.17646</v>
      </c>
      <c r="D259" s="1">
        <f t="shared" si="40"/>
        <v>161.04572000000002</v>
      </c>
      <c r="E259" s="1">
        <f t="shared" si="41"/>
        <v>253.13074</v>
      </c>
      <c r="F259" s="22"/>
      <c r="G259" s="22"/>
      <c r="H259" s="22"/>
      <c r="I259" s="22"/>
      <c r="J259" s="22"/>
      <c r="K259" s="22"/>
      <c r="L259" s="22"/>
      <c r="M259" s="2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22"/>
      <c r="AA259" s="22"/>
      <c r="AB259" s="23">
        <v>59.77987</v>
      </c>
      <c r="AC259" s="4">
        <v>29.13641</v>
      </c>
      <c r="AD259" s="22"/>
      <c r="AE259" s="22"/>
      <c r="AF259" s="22"/>
      <c r="AG259" s="22"/>
      <c r="AH259" s="20">
        <f>18.92793+28.106</f>
        <v>47.03393</v>
      </c>
      <c r="AI259" s="4">
        <v>28.106</v>
      </c>
      <c r="AJ259" s="22">
        <v>18.92793</v>
      </c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4"/>
      <c r="BA259" s="4"/>
      <c r="BB259" s="4"/>
      <c r="BC259" s="22"/>
      <c r="BD259" s="22">
        <v>113.66705</v>
      </c>
      <c r="BE259" s="22"/>
      <c r="BF259" s="22">
        <v>101.26585</v>
      </c>
      <c r="BG259" s="22">
        <v>63.29335</v>
      </c>
      <c r="BH259" s="22"/>
      <c r="BI259" s="22"/>
      <c r="BJ259" s="22"/>
      <c r="BK259" s="22"/>
      <c r="BL259" s="22"/>
      <c r="BM259" s="22"/>
      <c r="BN259" s="22"/>
      <c r="BO259" s="4"/>
      <c r="BP259" s="4"/>
      <c r="BQ259" s="4"/>
      <c r="BR259" s="4"/>
      <c r="BS259" s="4"/>
      <c r="BT259" s="22"/>
      <c r="BU259" s="24"/>
    </row>
    <row r="260" spans="1:73" ht="73.5" customHeight="1" outlineLevel="2">
      <c r="A260" s="46" t="s">
        <v>246</v>
      </c>
      <c r="B260" s="45" t="s">
        <v>678</v>
      </c>
      <c r="C260" s="39">
        <f t="shared" si="42"/>
        <v>205.07225</v>
      </c>
      <c r="D260" s="1">
        <f t="shared" si="40"/>
        <v>129.73731</v>
      </c>
      <c r="E260" s="1">
        <f t="shared" si="41"/>
        <v>75.33494</v>
      </c>
      <c r="F260" s="22"/>
      <c r="G260" s="22"/>
      <c r="H260" s="22"/>
      <c r="I260" s="22"/>
      <c r="J260" s="22"/>
      <c r="K260" s="22"/>
      <c r="L260" s="22"/>
      <c r="M260" s="2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22"/>
      <c r="AA260" s="22"/>
      <c r="AB260" s="23">
        <v>56.03764</v>
      </c>
      <c r="AC260" s="4">
        <v>29.13641</v>
      </c>
      <c r="AD260" s="22"/>
      <c r="AE260" s="22"/>
      <c r="AF260" s="22"/>
      <c r="AG260" s="22"/>
      <c r="AH260" s="20"/>
      <c r="AI260" s="4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4"/>
      <c r="BA260" s="4"/>
      <c r="BB260" s="4"/>
      <c r="BC260" s="22"/>
      <c r="BD260" s="22"/>
      <c r="BE260" s="22"/>
      <c r="BF260" s="22">
        <v>73.69967</v>
      </c>
      <c r="BG260" s="22">
        <v>46.19853</v>
      </c>
      <c r="BH260" s="22"/>
      <c r="BI260" s="22"/>
      <c r="BJ260" s="22"/>
      <c r="BK260" s="22"/>
      <c r="BL260" s="22"/>
      <c r="BM260" s="22"/>
      <c r="BN260" s="22"/>
      <c r="BO260" s="4"/>
      <c r="BP260" s="4"/>
      <c r="BQ260" s="4"/>
      <c r="BR260" s="4"/>
      <c r="BS260" s="4"/>
      <c r="BT260" s="22"/>
      <c r="BU260" s="24"/>
    </row>
    <row r="261" spans="1:73" ht="73.5" customHeight="1" outlineLevel="2">
      <c r="A261" s="46" t="s">
        <v>246</v>
      </c>
      <c r="B261" s="45" t="s">
        <v>679</v>
      </c>
      <c r="C261" s="39">
        <f t="shared" si="42"/>
        <v>41.48178</v>
      </c>
      <c r="D261" s="1">
        <f t="shared" si="40"/>
        <v>26.53994</v>
      </c>
      <c r="E261" s="1">
        <f t="shared" si="41"/>
        <v>14.941840000000001</v>
      </c>
      <c r="F261" s="22"/>
      <c r="G261" s="22"/>
      <c r="H261" s="22"/>
      <c r="I261" s="22"/>
      <c r="J261" s="22"/>
      <c r="K261" s="22"/>
      <c r="L261" s="22"/>
      <c r="M261" s="2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22"/>
      <c r="AA261" s="22"/>
      <c r="AB261" s="23">
        <v>11.95591</v>
      </c>
      <c r="AC261" s="4">
        <v>5.82728</v>
      </c>
      <c r="AD261" s="22"/>
      <c r="AE261" s="22"/>
      <c r="AF261" s="22"/>
      <c r="AG261" s="22"/>
      <c r="AH261" s="20"/>
      <c r="AI261" s="4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4"/>
      <c r="BA261" s="4"/>
      <c r="BB261" s="4"/>
      <c r="BC261" s="22"/>
      <c r="BD261" s="22"/>
      <c r="BE261" s="22"/>
      <c r="BF261" s="22">
        <v>14.58403</v>
      </c>
      <c r="BG261" s="22">
        <v>9.11456</v>
      </c>
      <c r="BH261" s="22"/>
      <c r="BI261" s="22"/>
      <c r="BJ261" s="22"/>
      <c r="BK261" s="22"/>
      <c r="BL261" s="22"/>
      <c r="BM261" s="22"/>
      <c r="BN261" s="22"/>
      <c r="BO261" s="4"/>
      <c r="BP261" s="4"/>
      <c r="BQ261" s="4"/>
      <c r="BR261" s="4"/>
      <c r="BS261" s="4"/>
      <c r="BT261" s="22"/>
      <c r="BU261" s="24"/>
    </row>
    <row r="262" spans="1:73" ht="73.5" customHeight="1" outlineLevel="2">
      <c r="A262" s="46" t="s">
        <v>246</v>
      </c>
      <c r="B262" s="45" t="s">
        <v>680</v>
      </c>
      <c r="C262" s="39">
        <f t="shared" si="42"/>
        <v>72.29045</v>
      </c>
      <c r="D262" s="1">
        <f t="shared" si="40"/>
        <v>45.2946</v>
      </c>
      <c r="E262" s="1">
        <f t="shared" si="41"/>
        <v>26.99585</v>
      </c>
      <c r="F262" s="22"/>
      <c r="G262" s="22"/>
      <c r="H262" s="22"/>
      <c r="I262" s="22"/>
      <c r="J262" s="22"/>
      <c r="K262" s="22"/>
      <c r="L262" s="22"/>
      <c r="M262" s="2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22"/>
      <c r="AA262" s="22"/>
      <c r="AB262" s="23">
        <v>16.27328</v>
      </c>
      <c r="AC262" s="4">
        <v>8.85747</v>
      </c>
      <c r="AD262" s="22"/>
      <c r="AE262" s="22"/>
      <c r="AF262" s="22"/>
      <c r="AG262" s="22"/>
      <c r="AH262" s="20"/>
      <c r="AI262" s="4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4"/>
      <c r="BA262" s="4"/>
      <c r="BB262" s="4"/>
      <c r="BC262" s="22"/>
      <c r="BD262" s="22"/>
      <c r="BE262" s="22"/>
      <c r="BF262" s="22">
        <v>29.02132</v>
      </c>
      <c r="BG262" s="22">
        <v>18.13838</v>
      </c>
      <c r="BH262" s="22"/>
      <c r="BI262" s="22"/>
      <c r="BJ262" s="22"/>
      <c r="BK262" s="22"/>
      <c r="BL262" s="22"/>
      <c r="BM262" s="22"/>
      <c r="BN262" s="22"/>
      <c r="BO262" s="4"/>
      <c r="BP262" s="4"/>
      <c r="BQ262" s="4"/>
      <c r="BR262" s="4"/>
      <c r="BS262" s="4"/>
      <c r="BT262" s="22"/>
      <c r="BU262" s="24"/>
    </row>
    <row r="263" spans="1:73" ht="73.5" customHeight="1" outlineLevel="2">
      <c r="A263" s="46" t="s">
        <v>246</v>
      </c>
      <c r="B263" s="45" t="s">
        <v>681</v>
      </c>
      <c r="C263" s="39">
        <f t="shared" si="42"/>
        <v>314.48508</v>
      </c>
      <c r="D263" s="1">
        <f t="shared" si="40"/>
        <v>205.23389</v>
      </c>
      <c r="E263" s="1">
        <f t="shared" si="41"/>
        <v>109.25119</v>
      </c>
      <c r="F263" s="22"/>
      <c r="G263" s="22"/>
      <c r="H263" s="22"/>
      <c r="I263" s="22"/>
      <c r="J263" s="22"/>
      <c r="K263" s="22"/>
      <c r="L263" s="22"/>
      <c r="M263" s="2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22"/>
      <c r="AA263" s="22"/>
      <c r="AB263" s="23">
        <v>105.78959</v>
      </c>
      <c r="AC263" s="4">
        <v>47.08445</v>
      </c>
      <c r="AD263" s="22"/>
      <c r="AE263" s="22"/>
      <c r="AF263" s="22"/>
      <c r="AG263" s="22"/>
      <c r="AH263" s="20"/>
      <c r="AI263" s="4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4"/>
      <c r="BA263" s="4"/>
      <c r="BB263" s="4"/>
      <c r="BC263" s="22"/>
      <c r="BD263" s="22"/>
      <c r="BE263" s="22"/>
      <c r="BF263" s="22">
        <v>99.4443</v>
      </c>
      <c r="BG263" s="22">
        <v>62.16674</v>
      </c>
      <c r="BH263" s="22"/>
      <c r="BI263" s="22"/>
      <c r="BJ263" s="22"/>
      <c r="BK263" s="22"/>
      <c r="BL263" s="22"/>
      <c r="BM263" s="22"/>
      <c r="BN263" s="22"/>
      <c r="BO263" s="4"/>
      <c r="BP263" s="4"/>
      <c r="BQ263" s="4"/>
      <c r="BR263" s="4"/>
      <c r="BS263" s="4"/>
      <c r="BT263" s="22"/>
      <c r="BU263" s="24"/>
    </row>
    <row r="264" spans="1:73" ht="73.5" customHeight="1" outlineLevel="2">
      <c r="A264" s="46" t="s">
        <v>246</v>
      </c>
      <c r="B264" s="45" t="s">
        <v>682</v>
      </c>
      <c r="C264" s="39">
        <f t="shared" si="42"/>
        <v>369.10758999999996</v>
      </c>
      <c r="D264" s="1">
        <f t="shared" si="40"/>
        <v>128.01812999999999</v>
      </c>
      <c r="E264" s="1">
        <f t="shared" si="41"/>
        <v>241.08946</v>
      </c>
      <c r="F264" s="22"/>
      <c r="G264" s="22"/>
      <c r="H264" s="22"/>
      <c r="I264" s="22"/>
      <c r="J264" s="22"/>
      <c r="K264" s="22"/>
      <c r="L264" s="22"/>
      <c r="M264" s="2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22"/>
      <c r="AA264" s="22"/>
      <c r="AB264" s="23">
        <v>65.5997</v>
      </c>
      <c r="AC264" s="4">
        <v>32.1666</v>
      </c>
      <c r="AD264" s="22"/>
      <c r="AE264" s="22"/>
      <c r="AF264" s="22"/>
      <c r="AG264" s="22"/>
      <c r="AH264" s="20"/>
      <c r="AI264" s="4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4"/>
      <c r="BA264" s="4"/>
      <c r="BB264" s="4"/>
      <c r="BC264" s="22"/>
      <c r="BD264" s="22"/>
      <c r="BE264" s="22"/>
      <c r="BF264" s="22">
        <v>62.41843</v>
      </c>
      <c r="BG264" s="22">
        <v>39.17206</v>
      </c>
      <c r="BH264" s="22"/>
      <c r="BI264" s="22"/>
      <c r="BJ264" s="22">
        <v>169.7508</v>
      </c>
      <c r="BK264" s="22"/>
      <c r="BL264" s="22"/>
      <c r="BM264" s="22"/>
      <c r="BN264" s="22"/>
      <c r="BO264" s="4"/>
      <c r="BP264" s="4"/>
      <c r="BQ264" s="4"/>
      <c r="BR264" s="4"/>
      <c r="BS264" s="4"/>
      <c r="BT264" s="22"/>
      <c r="BU264" s="24"/>
    </row>
    <row r="265" spans="1:73" ht="73.5" customHeight="1" outlineLevel="2">
      <c r="A265" s="46" t="s">
        <v>246</v>
      </c>
      <c r="B265" s="45" t="s">
        <v>758</v>
      </c>
      <c r="C265" s="39">
        <f t="shared" si="42"/>
        <v>59.02567</v>
      </c>
      <c r="D265" s="1">
        <f t="shared" si="40"/>
        <v>38.12372</v>
      </c>
      <c r="E265" s="1">
        <f t="shared" si="41"/>
        <v>20.90195</v>
      </c>
      <c r="F265" s="22"/>
      <c r="G265" s="22"/>
      <c r="H265" s="22"/>
      <c r="I265" s="22"/>
      <c r="J265" s="22"/>
      <c r="K265" s="22"/>
      <c r="L265" s="22"/>
      <c r="M265" s="2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22"/>
      <c r="AA265" s="22"/>
      <c r="AB265" s="23">
        <v>21.92538</v>
      </c>
      <c r="AC265" s="4">
        <v>10.7222</v>
      </c>
      <c r="AD265" s="22"/>
      <c r="AE265" s="22"/>
      <c r="AF265" s="22"/>
      <c r="AG265" s="22"/>
      <c r="AH265" s="20"/>
      <c r="AI265" s="4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4"/>
      <c r="BA265" s="4"/>
      <c r="BB265" s="4"/>
      <c r="BC265" s="22"/>
      <c r="BD265" s="22"/>
      <c r="BE265" s="22"/>
      <c r="BF265" s="22">
        <f>17.13179-0.93345</f>
        <v>16.198339999999998</v>
      </c>
      <c r="BG265" s="22">
        <f>10.7659-0.58615</f>
        <v>10.17975</v>
      </c>
      <c r="BH265" s="22"/>
      <c r="BI265" s="22"/>
      <c r="BJ265" s="22"/>
      <c r="BK265" s="22"/>
      <c r="BL265" s="22"/>
      <c r="BM265" s="22"/>
      <c r="BN265" s="22"/>
      <c r="BO265" s="4"/>
      <c r="BP265" s="4"/>
      <c r="BQ265" s="4"/>
      <c r="BR265" s="4"/>
      <c r="BS265" s="4"/>
      <c r="BT265" s="22"/>
      <c r="BU265" s="24"/>
    </row>
    <row r="266" spans="1:73" ht="73.5" customHeight="1" outlineLevel="2">
      <c r="A266" s="46" t="s">
        <v>246</v>
      </c>
      <c r="B266" s="45" t="s">
        <v>683</v>
      </c>
      <c r="C266" s="39">
        <f t="shared" si="42"/>
        <v>20.33974</v>
      </c>
      <c r="D266" s="1">
        <f t="shared" si="40"/>
        <v>13.25474</v>
      </c>
      <c r="E266" s="1">
        <f t="shared" si="41"/>
        <v>7.085000000000001</v>
      </c>
      <c r="F266" s="22"/>
      <c r="G266" s="22"/>
      <c r="H266" s="22"/>
      <c r="I266" s="22"/>
      <c r="J266" s="22"/>
      <c r="K266" s="22"/>
      <c r="L266" s="22"/>
      <c r="M266" s="2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22"/>
      <c r="AA266" s="22"/>
      <c r="AB266" s="23">
        <v>7.54414</v>
      </c>
      <c r="AC266" s="4">
        <v>3.49637</v>
      </c>
      <c r="AD266" s="22"/>
      <c r="AE266" s="22"/>
      <c r="AF266" s="22"/>
      <c r="AG266" s="22"/>
      <c r="AH266" s="20"/>
      <c r="AI266" s="4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4"/>
      <c r="BA266" s="4"/>
      <c r="BB266" s="4"/>
      <c r="BC266" s="22"/>
      <c r="BD266" s="22"/>
      <c r="BE266" s="22"/>
      <c r="BF266" s="22">
        <v>5.7106</v>
      </c>
      <c r="BG266" s="22">
        <v>3.58863</v>
      </c>
      <c r="BH266" s="22"/>
      <c r="BI266" s="22"/>
      <c r="BJ266" s="22"/>
      <c r="BK266" s="22"/>
      <c r="BL266" s="22"/>
      <c r="BM266" s="22"/>
      <c r="BN266" s="22"/>
      <c r="BO266" s="4"/>
      <c r="BP266" s="4"/>
      <c r="BQ266" s="4"/>
      <c r="BR266" s="4"/>
      <c r="BS266" s="4"/>
      <c r="BT266" s="22"/>
      <c r="BU266" s="24"/>
    </row>
    <row r="267" spans="1:73" ht="73.5" customHeight="1" outlineLevel="2">
      <c r="A267" s="26" t="s">
        <v>246</v>
      </c>
      <c r="B267" s="45" t="s">
        <v>684</v>
      </c>
      <c r="C267" s="39">
        <f t="shared" si="42"/>
        <v>80.18224000000001</v>
      </c>
      <c r="D267" s="1">
        <f t="shared" si="40"/>
        <v>51.330690000000004</v>
      </c>
      <c r="E267" s="1">
        <f t="shared" si="41"/>
        <v>28.85155</v>
      </c>
      <c r="F267" s="22"/>
      <c r="G267" s="22"/>
      <c r="H267" s="22"/>
      <c r="I267" s="22"/>
      <c r="J267" s="22"/>
      <c r="K267" s="22"/>
      <c r="L267" s="22"/>
      <c r="M267" s="2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22"/>
      <c r="AA267" s="22"/>
      <c r="AB267" s="4">
        <v>23.83145</v>
      </c>
      <c r="AC267" s="28">
        <v>11.65457</v>
      </c>
      <c r="AD267" s="22"/>
      <c r="AE267" s="22"/>
      <c r="AF267" s="22"/>
      <c r="AG267" s="22"/>
      <c r="AH267" s="20"/>
      <c r="AI267" s="4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4"/>
      <c r="BA267" s="4"/>
      <c r="BB267" s="4"/>
      <c r="BC267" s="22"/>
      <c r="BD267" s="22"/>
      <c r="BE267" s="22"/>
      <c r="BF267" s="22">
        <v>27.49924</v>
      </c>
      <c r="BG267" s="22">
        <v>17.19698</v>
      </c>
      <c r="BH267" s="22"/>
      <c r="BI267" s="22"/>
      <c r="BJ267" s="22"/>
      <c r="BK267" s="22"/>
      <c r="BL267" s="22"/>
      <c r="BM267" s="22"/>
      <c r="BN267" s="22"/>
      <c r="BO267" s="4"/>
      <c r="BP267" s="4"/>
      <c r="BQ267" s="4"/>
      <c r="BR267" s="4"/>
      <c r="BS267" s="4"/>
      <c r="BT267" s="22"/>
      <c r="BU267" s="24"/>
    </row>
    <row r="268" spans="1:73" ht="73.5" customHeight="1" outlineLevel="2">
      <c r="A268" s="26" t="s">
        <v>246</v>
      </c>
      <c r="B268" s="45" t="s">
        <v>820</v>
      </c>
      <c r="C268" s="39">
        <f t="shared" si="42"/>
        <v>230.38199</v>
      </c>
      <c r="D268" s="1">
        <f t="shared" si="40"/>
        <v>160.45459</v>
      </c>
      <c r="E268" s="1">
        <f t="shared" si="41"/>
        <v>69.9274</v>
      </c>
      <c r="F268" s="22"/>
      <c r="G268" s="22"/>
      <c r="H268" s="22"/>
      <c r="I268" s="22"/>
      <c r="J268" s="22"/>
      <c r="K268" s="22"/>
      <c r="L268" s="22"/>
      <c r="M268" s="2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22"/>
      <c r="AA268" s="22"/>
      <c r="AB268" s="4">
        <v>160.45459</v>
      </c>
      <c r="AC268" s="28">
        <v>69.9274</v>
      </c>
      <c r="AD268" s="22"/>
      <c r="AE268" s="22"/>
      <c r="AF268" s="22"/>
      <c r="AG268" s="22"/>
      <c r="AH268" s="20"/>
      <c r="AI268" s="4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4"/>
      <c r="BA268" s="4"/>
      <c r="BB268" s="4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4"/>
      <c r="BP268" s="4"/>
      <c r="BQ268" s="4"/>
      <c r="BR268" s="4"/>
      <c r="BS268" s="4"/>
      <c r="BT268" s="22"/>
      <c r="BU268" s="24"/>
    </row>
    <row r="269" spans="1:73" ht="73.5" customHeight="1" outlineLevel="2">
      <c r="A269" s="26" t="s">
        <v>246</v>
      </c>
      <c r="B269" s="27" t="s">
        <v>209</v>
      </c>
      <c r="C269" s="39">
        <f t="shared" si="42"/>
        <v>344.98832</v>
      </c>
      <c r="D269" s="1">
        <f t="shared" si="40"/>
        <v>221.01887</v>
      </c>
      <c r="E269" s="1">
        <f t="shared" si="41"/>
        <v>123.96945</v>
      </c>
      <c r="F269" s="22"/>
      <c r="G269" s="22"/>
      <c r="H269" s="22"/>
      <c r="I269" s="22"/>
      <c r="J269" s="22"/>
      <c r="K269" s="22"/>
      <c r="L269" s="22"/>
      <c r="M269" s="2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22"/>
      <c r="AA269" s="22"/>
      <c r="AB269" s="23">
        <v>102.22856</v>
      </c>
      <c r="AC269" s="4">
        <v>49.64845</v>
      </c>
      <c r="AD269" s="22"/>
      <c r="AE269" s="22"/>
      <c r="AF269" s="22"/>
      <c r="AG269" s="22"/>
      <c r="AH269" s="20"/>
      <c r="AI269" s="4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4"/>
      <c r="BA269" s="4"/>
      <c r="BB269" s="4"/>
      <c r="BC269" s="22"/>
      <c r="BD269" s="22"/>
      <c r="BE269" s="22"/>
      <c r="BF269" s="22">
        <v>118.79031</v>
      </c>
      <c r="BG269" s="22">
        <v>74.321</v>
      </c>
      <c r="BH269" s="22"/>
      <c r="BI269" s="22"/>
      <c r="BJ269" s="22"/>
      <c r="BK269" s="22"/>
      <c r="BL269" s="22"/>
      <c r="BM269" s="22"/>
      <c r="BN269" s="22"/>
      <c r="BO269" s="4"/>
      <c r="BP269" s="4"/>
      <c r="BQ269" s="4"/>
      <c r="BR269" s="4"/>
      <c r="BS269" s="4"/>
      <c r="BT269" s="22"/>
      <c r="BU269" s="24"/>
    </row>
    <row r="270" spans="1:73" ht="73.5" customHeight="1" outlineLevel="2">
      <c r="A270" s="26" t="s">
        <v>246</v>
      </c>
      <c r="B270" s="45" t="s">
        <v>449</v>
      </c>
      <c r="C270" s="39">
        <f t="shared" si="42"/>
        <v>488.96128</v>
      </c>
      <c r="D270" s="1">
        <f t="shared" si="40"/>
        <v>287.60255</v>
      </c>
      <c r="E270" s="1">
        <f t="shared" si="41"/>
        <v>201.35872999999998</v>
      </c>
      <c r="F270" s="22"/>
      <c r="G270" s="22"/>
      <c r="H270" s="22"/>
      <c r="I270" s="22"/>
      <c r="J270" s="22"/>
      <c r="K270" s="22"/>
      <c r="L270" s="22"/>
      <c r="M270" s="2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22"/>
      <c r="AA270" s="22"/>
      <c r="AB270" s="23">
        <v>151.62934</v>
      </c>
      <c r="AC270" s="4">
        <v>58.27283</v>
      </c>
      <c r="AD270" s="22"/>
      <c r="AE270" s="22"/>
      <c r="AF270" s="22"/>
      <c r="AG270" s="22"/>
      <c r="AH270" s="20"/>
      <c r="AI270" s="4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4"/>
      <c r="BA270" s="4"/>
      <c r="BB270" s="4"/>
      <c r="BC270" s="22"/>
      <c r="BD270" s="22">
        <v>58.04295</v>
      </c>
      <c r="BE270" s="22"/>
      <c r="BF270" s="22">
        <v>135.97321</v>
      </c>
      <c r="BG270" s="22">
        <v>85.04295</v>
      </c>
      <c r="BH270" s="22"/>
      <c r="BI270" s="22"/>
      <c r="BJ270" s="22"/>
      <c r="BK270" s="22"/>
      <c r="BL270" s="22"/>
      <c r="BM270" s="22"/>
      <c r="BN270" s="22"/>
      <c r="BO270" s="4"/>
      <c r="BP270" s="4"/>
      <c r="BQ270" s="4"/>
      <c r="BR270" s="4"/>
      <c r="BS270" s="4"/>
      <c r="BT270" s="22"/>
      <c r="BU270" s="24"/>
    </row>
    <row r="271" spans="1:73" ht="73.5" customHeight="1" outlineLevel="2">
      <c r="A271" s="46" t="s">
        <v>246</v>
      </c>
      <c r="B271" s="45" t="s">
        <v>436</v>
      </c>
      <c r="C271" s="39">
        <f t="shared" si="42"/>
        <v>668.27755</v>
      </c>
      <c r="D271" s="1">
        <f t="shared" si="40"/>
        <v>298.08563</v>
      </c>
      <c r="E271" s="1">
        <f t="shared" si="41"/>
        <v>370.19192</v>
      </c>
      <c r="F271" s="22"/>
      <c r="G271" s="22"/>
      <c r="H271" s="22"/>
      <c r="I271" s="22"/>
      <c r="J271" s="22">
        <v>20.39282</v>
      </c>
      <c r="K271" s="22">
        <v>4.37882</v>
      </c>
      <c r="L271" s="22"/>
      <c r="M271" s="22"/>
      <c r="N271" s="4"/>
      <c r="O271" s="4"/>
      <c r="P271" s="4"/>
      <c r="Q271" s="4"/>
      <c r="R271" s="4">
        <v>12.02561</v>
      </c>
      <c r="S271" s="4">
        <v>13.23788</v>
      </c>
      <c r="T271" s="4"/>
      <c r="U271" s="4"/>
      <c r="V271" s="4"/>
      <c r="W271" s="4"/>
      <c r="X271" s="4"/>
      <c r="Y271" s="4"/>
      <c r="Z271" s="22"/>
      <c r="AA271" s="22"/>
      <c r="AB271" s="23">
        <v>122.03522</v>
      </c>
      <c r="AC271" s="4">
        <v>60.60374</v>
      </c>
      <c r="AD271" s="22"/>
      <c r="AE271" s="22"/>
      <c r="AF271" s="22"/>
      <c r="AG271" s="22"/>
      <c r="AH271" s="20"/>
      <c r="AI271" s="4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4"/>
      <c r="BA271" s="4"/>
      <c r="BB271" s="4"/>
      <c r="BC271" s="22"/>
      <c r="BD271" s="22"/>
      <c r="BE271" s="22"/>
      <c r="BF271" s="22">
        <v>143.63198</v>
      </c>
      <c r="BG271" s="22">
        <v>89.81762</v>
      </c>
      <c r="BH271" s="22"/>
      <c r="BI271" s="22"/>
      <c r="BJ271" s="22">
        <v>202.15386</v>
      </c>
      <c r="BK271" s="22"/>
      <c r="BL271" s="22"/>
      <c r="BM271" s="22"/>
      <c r="BN271" s="22"/>
      <c r="BO271" s="4"/>
      <c r="BP271" s="4"/>
      <c r="BQ271" s="4"/>
      <c r="BR271" s="4"/>
      <c r="BS271" s="4"/>
      <c r="BT271" s="22"/>
      <c r="BU271" s="24"/>
    </row>
    <row r="272" spans="1:73" ht="73.5" customHeight="1" outlineLevel="2">
      <c r="A272" s="26" t="s">
        <v>246</v>
      </c>
      <c r="B272" s="45" t="s">
        <v>36</v>
      </c>
      <c r="C272" s="39">
        <f t="shared" si="42"/>
        <v>314.19934</v>
      </c>
      <c r="D272" s="1">
        <f t="shared" si="40"/>
        <v>201.4097</v>
      </c>
      <c r="E272" s="1">
        <f t="shared" si="41"/>
        <v>112.78964</v>
      </c>
      <c r="F272" s="22"/>
      <c r="G272" s="22"/>
      <c r="H272" s="22"/>
      <c r="I272" s="22"/>
      <c r="J272" s="22"/>
      <c r="K272" s="22"/>
      <c r="L272" s="22"/>
      <c r="M272" s="2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22"/>
      <c r="AA272" s="22"/>
      <c r="AB272" s="23">
        <v>92.85244</v>
      </c>
      <c r="AC272" s="4">
        <v>44.98662</v>
      </c>
      <c r="AD272" s="22"/>
      <c r="AE272" s="22"/>
      <c r="AF272" s="22"/>
      <c r="AG272" s="22"/>
      <c r="AH272" s="20"/>
      <c r="AI272" s="4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4"/>
      <c r="BA272" s="4"/>
      <c r="BB272" s="4"/>
      <c r="BC272" s="22"/>
      <c r="BD272" s="22"/>
      <c r="BE272" s="22"/>
      <c r="BF272" s="22">
        <v>108.55726</v>
      </c>
      <c r="BG272" s="22">
        <v>67.80302</v>
      </c>
      <c r="BH272" s="22"/>
      <c r="BI272" s="22"/>
      <c r="BJ272" s="22"/>
      <c r="BK272" s="22"/>
      <c r="BL272" s="22"/>
      <c r="BM272" s="22"/>
      <c r="BN272" s="22"/>
      <c r="BO272" s="4"/>
      <c r="BP272" s="4"/>
      <c r="BQ272" s="4"/>
      <c r="BR272" s="4"/>
      <c r="BS272" s="4"/>
      <c r="BT272" s="22"/>
      <c r="BU272" s="24"/>
    </row>
    <row r="273" spans="1:73" ht="73.5" customHeight="1" outlineLevel="2">
      <c r="A273" s="26" t="s">
        <v>246</v>
      </c>
      <c r="B273" s="45" t="s">
        <v>450</v>
      </c>
      <c r="C273" s="39">
        <f t="shared" si="42"/>
        <v>43.72103</v>
      </c>
      <c r="D273" s="1">
        <f t="shared" si="40"/>
        <v>26.89671</v>
      </c>
      <c r="E273" s="1">
        <f t="shared" si="41"/>
        <v>16.82432</v>
      </c>
      <c r="F273" s="22"/>
      <c r="G273" s="22"/>
      <c r="H273" s="22"/>
      <c r="I273" s="22"/>
      <c r="J273" s="22"/>
      <c r="K273" s="22"/>
      <c r="L273" s="22"/>
      <c r="M273" s="2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22"/>
      <c r="AA273" s="22"/>
      <c r="AB273" s="23"/>
      <c r="AC273" s="4"/>
      <c r="AD273" s="22"/>
      <c r="AE273" s="22"/>
      <c r="AF273" s="22"/>
      <c r="AG273" s="22"/>
      <c r="AH273" s="20"/>
      <c r="AI273" s="4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4"/>
      <c r="BA273" s="4"/>
      <c r="BB273" s="4"/>
      <c r="BC273" s="22"/>
      <c r="BD273" s="22"/>
      <c r="BE273" s="22"/>
      <c r="BF273" s="22">
        <v>26.89671</v>
      </c>
      <c r="BG273" s="22">
        <v>16.82432</v>
      </c>
      <c r="BH273" s="22"/>
      <c r="BI273" s="22"/>
      <c r="BJ273" s="22"/>
      <c r="BK273" s="22"/>
      <c r="BL273" s="22"/>
      <c r="BM273" s="22"/>
      <c r="BN273" s="22"/>
      <c r="BO273" s="4"/>
      <c r="BP273" s="4"/>
      <c r="BQ273" s="4"/>
      <c r="BR273" s="4"/>
      <c r="BS273" s="4"/>
      <c r="BT273" s="22"/>
      <c r="BU273" s="24"/>
    </row>
    <row r="274" spans="1:73" ht="73.5" customHeight="1" outlineLevel="2">
      <c r="A274" s="26" t="s">
        <v>246</v>
      </c>
      <c r="B274" s="45" t="s">
        <v>456</v>
      </c>
      <c r="C274" s="39">
        <f t="shared" si="42"/>
        <v>126.55668</v>
      </c>
      <c r="D274" s="1">
        <f t="shared" si="40"/>
        <v>26.44054</v>
      </c>
      <c r="E274" s="1">
        <f t="shared" si="41"/>
        <v>100.11614</v>
      </c>
      <c r="F274" s="22"/>
      <c r="G274" s="22"/>
      <c r="H274" s="22"/>
      <c r="I274" s="22"/>
      <c r="J274" s="22"/>
      <c r="K274" s="22"/>
      <c r="L274" s="22"/>
      <c r="M274" s="2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22"/>
      <c r="AA274" s="22"/>
      <c r="AB274" s="23">
        <v>8.75827</v>
      </c>
      <c r="AC274" s="4">
        <v>4.66183</v>
      </c>
      <c r="AD274" s="22"/>
      <c r="AE274" s="22"/>
      <c r="AF274" s="22"/>
      <c r="AG274" s="22"/>
      <c r="AH274" s="20"/>
      <c r="AI274" s="4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4"/>
      <c r="BA274" s="4"/>
      <c r="BB274" s="4"/>
      <c r="BC274" s="22"/>
      <c r="BD274" s="22">
        <v>84.4424</v>
      </c>
      <c r="BE274" s="22"/>
      <c r="BF274" s="22">
        <v>17.68227</v>
      </c>
      <c r="BG274" s="22">
        <v>11.01191</v>
      </c>
      <c r="BH274" s="22"/>
      <c r="BI274" s="22"/>
      <c r="BJ274" s="22"/>
      <c r="BK274" s="22"/>
      <c r="BL274" s="22"/>
      <c r="BM274" s="22"/>
      <c r="BN274" s="22"/>
      <c r="BO274" s="4"/>
      <c r="BP274" s="4"/>
      <c r="BQ274" s="4"/>
      <c r="BR274" s="4"/>
      <c r="BS274" s="4"/>
      <c r="BT274" s="22"/>
      <c r="BU274" s="24"/>
    </row>
    <row r="275" spans="1:73" ht="73.5" customHeight="1" outlineLevel="2">
      <c r="A275" s="46" t="s">
        <v>246</v>
      </c>
      <c r="B275" s="45" t="s">
        <v>438</v>
      </c>
      <c r="C275" s="39">
        <f t="shared" si="42"/>
        <v>165.13585</v>
      </c>
      <c r="D275" s="1">
        <f t="shared" si="40"/>
        <v>105.70811</v>
      </c>
      <c r="E275" s="1">
        <f t="shared" si="41"/>
        <v>59.42774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23">
        <v>46.06737</v>
      </c>
      <c r="AC275" s="4">
        <v>22.14368</v>
      </c>
      <c r="AD275" s="22"/>
      <c r="AE275" s="22"/>
      <c r="AF275" s="22"/>
      <c r="AG275" s="22"/>
      <c r="AH275" s="20"/>
      <c r="AI275" s="4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4"/>
      <c r="BA275" s="4"/>
      <c r="BB275" s="4"/>
      <c r="BC275" s="22"/>
      <c r="BD275" s="22"/>
      <c r="BE275" s="22"/>
      <c r="BF275" s="22">
        <v>59.64074</v>
      </c>
      <c r="BG275" s="22">
        <v>37.28406</v>
      </c>
      <c r="BH275" s="22"/>
      <c r="BI275" s="22"/>
      <c r="BJ275" s="22"/>
      <c r="BK275" s="22"/>
      <c r="BL275" s="22"/>
      <c r="BM275" s="22"/>
      <c r="BN275" s="22"/>
      <c r="BO275" s="4"/>
      <c r="BP275" s="4"/>
      <c r="BQ275" s="4"/>
      <c r="BR275" s="4"/>
      <c r="BS275" s="4"/>
      <c r="BT275" s="22"/>
      <c r="BU275" s="24"/>
    </row>
    <row r="276" spans="1:73" ht="73.5" customHeight="1" outlineLevel="2">
      <c r="A276" s="26" t="s">
        <v>246</v>
      </c>
      <c r="B276" s="45" t="s">
        <v>455</v>
      </c>
      <c r="C276" s="39">
        <f t="shared" si="42"/>
        <v>80.00983</v>
      </c>
      <c r="D276" s="1">
        <f t="shared" si="40"/>
        <v>50.72641</v>
      </c>
      <c r="E276" s="1">
        <f t="shared" si="41"/>
        <v>29.28342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23">
        <v>22.52892</v>
      </c>
      <c r="AC276" s="4">
        <v>11.65457</v>
      </c>
      <c r="AD276" s="22"/>
      <c r="AE276" s="22"/>
      <c r="AF276" s="22"/>
      <c r="AG276" s="22"/>
      <c r="AH276" s="20"/>
      <c r="AI276" s="4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4"/>
      <c r="BA276" s="4"/>
      <c r="BB276" s="4"/>
      <c r="BC276" s="22"/>
      <c r="BD276" s="22"/>
      <c r="BE276" s="22"/>
      <c r="BF276" s="22">
        <v>28.19749</v>
      </c>
      <c r="BG276" s="22">
        <v>17.62885</v>
      </c>
      <c r="BH276" s="22"/>
      <c r="BI276" s="22"/>
      <c r="BJ276" s="22"/>
      <c r="BK276" s="22"/>
      <c r="BL276" s="22"/>
      <c r="BM276" s="22"/>
      <c r="BN276" s="22"/>
      <c r="BO276" s="4"/>
      <c r="BP276" s="4"/>
      <c r="BQ276" s="4"/>
      <c r="BR276" s="4"/>
      <c r="BS276" s="4"/>
      <c r="BT276" s="22"/>
      <c r="BU276" s="24"/>
    </row>
    <row r="277" spans="1:73" ht="73.5" customHeight="1" outlineLevel="2">
      <c r="A277" s="26" t="s">
        <v>246</v>
      </c>
      <c r="B277" s="45" t="s">
        <v>454</v>
      </c>
      <c r="C277" s="39">
        <f t="shared" si="42"/>
        <v>93.0532</v>
      </c>
      <c r="D277" s="1">
        <f t="shared" si="40"/>
        <v>59.68894</v>
      </c>
      <c r="E277" s="1">
        <f t="shared" si="41"/>
        <v>33.36426</v>
      </c>
      <c r="F277" s="22"/>
      <c r="G277" s="22"/>
      <c r="H277" s="22"/>
      <c r="I277" s="22"/>
      <c r="J277" s="22"/>
      <c r="K277" s="22"/>
      <c r="L277" s="22"/>
      <c r="M277" s="2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22"/>
      <c r="AA277" s="22"/>
      <c r="AB277" s="23">
        <v>26.80829</v>
      </c>
      <c r="AC277" s="4">
        <v>12.82002</v>
      </c>
      <c r="AD277" s="22"/>
      <c r="AE277" s="22"/>
      <c r="AF277" s="22"/>
      <c r="AG277" s="22"/>
      <c r="AH277" s="20"/>
      <c r="AI277" s="4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4"/>
      <c r="BA277" s="4"/>
      <c r="BB277" s="4"/>
      <c r="BC277" s="22"/>
      <c r="BD277" s="22"/>
      <c r="BE277" s="22"/>
      <c r="BF277" s="22">
        <v>32.88065</v>
      </c>
      <c r="BG277" s="22">
        <v>20.54424</v>
      </c>
      <c r="BH277" s="22"/>
      <c r="BI277" s="22"/>
      <c r="BJ277" s="22"/>
      <c r="BK277" s="22"/>
      <c r="BL277" s="22"/>
      <c r="BM277" s="22"/>
      <c r="BN277" s="22"/>
      <c r="BO277" s="4"/>
      <c r="BP277" s="4"/>
      <c r="BQ277" s="4"/>
      <c r="BR277" s="4"/>
      <c r="BS277" s="4"/>
      <c r="BT277" s="22"/>
      <c r="BU277" s="24"/>
    </row>
    <row r="278" spans="1:73" ht="73.5" customHeight="1" outlineLevel="2">
      <c r="A278" s="46" t="s">
        <v>246</v>
      </c>
      <c r="B278" s="45" t="s">
        <v>530</v>
      </c>
      <c r="C278" s="39">
        <f t="shared" si="42"/>
        <v>103.53612999999999</v>
      </c>
      <c r="D278" s="1">
        <f t="shared" si="40"/>
        <v>31.78589</v>
      </c>
      <c r="E278" s="1">
        <f t="shared" si="41"/>
        <v>71.75023999999999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>
        <v>6.48342</v>
      </c>
      <c r="AC278" s="4">
        <v>3.26328</v>
      </c>
      <c r="AD278" s="22"/>
      <c r="AE278" s="22"/>
      <c r="AF278" s="22"/>
      <c r="AG278" s="22"/>
      <c r="AH278" s="20"/>
      <c r="AI278" s="4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4"/>
      <c r="BA278" s="4"/>
      <c r="BB278" s="4"/>
      <c r="BC278" s="22"/>
      <c r="BD278" s="22">
        <v>52.61655</v>
      </c>
      <c r="BE278" s="22"/>
      <c r="BF278" s="22">
        <v>25.30247</v>
      </c>
      <c r="BG278" s="22">
        <v>15.87041</v>
      </c>
      <c r="BH278" s="22"/>
      <c r="BI278" s="22"/>
      <c r="BJ278" s="22"/>
      <c r="BK278" s="22"/>
      <c r="BL278" s="22"/>
      <c r="BM278" s="22"/>
      <c r="BN278" s="22"/>
      <c r="BO278" s="4"/>
      <c r="BP278" s="4"/>
      <c r="BQ278" s="4"/>
      <c r="BR278" s="4"/>
      <c r="BS278" s="4"/>
      <c r="BT278" s="22"/>
      <c r="BU278" s="24"/>
    </row>
    <row r="279" spans="1:73" ht="73.5" customHeight="1" outlineLevel="2">
      <c r="A279" s="46" t="s">
        <v>246</v>
      </c>
      <c r="B279" s="45" t="s">
        <v>759</v>
      </c>
      <c r="C279" s="39">
        <f t="shared" si="42"/>
        <v>20.161350000000002</v>
      </c>
      <c r="D279" s="1">
        <f t="shared" si="40"/>
        <v>13.076350000000001</v>
      </c>
      <c r="E279" s="1">
        <f t="shared" si="41"/>
        <v>7.085000000000001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>
        <v>7.36575</v>
      </c>
      <c r="AC279" s="4">
        <v>3.49637</v>
      </c>
      <c r="AD279" s="22"/>
      <c r="AE279" s="22"/>
      <c r="AF279" s="22"/>
      <c r="AG279" s="22"/>
      <c r="AH279" s="20"/>
      <c r="AI279" s="4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4"/>
      <c r="BA279" s="4"/>
      <c r="BB279" s="4"/>
      <c r="BC279" s="22"/>
      <c r="BD279" s="22"/>
      <c r="BE279" s="22"/>
      <c r="BF279" s="22">
        <v>5.7106</v>
      </c>
      <c r="BG279" s="22">
        <v>3.58863</v>
      </c>
      <c r="BH279" s="22"/>
      <c r="BI279" s="22"/>
      <c r="BJ279" s="22"/>
      <c r="BK279" s="22"/>
      <c r="BL279" s="22"/>
      <c r="BM279" s="22"/>
      <c r="BN279" s="22"/>
      <c r="BO279" s="4"/>
      <c r="BP279" s="4"/>
      <c r="BQ279" s="4"/>
      <c r="BR279" s="4"/>
      <c r="BS279" s="4"/>
      <c r="BT279" s="22"/>
      <c r="BU279" s="24"/>
    </row>
    <row r="280" spans="1:73" ht="73.5" customHeight="1" outlineLevel="2">
      <c r="A280" s="46" t="s">
        <v>246</v>
      </c>
      <c r="B280" s="45" t="s">
        <v>819</v>
      </c>
      <c r="C280" s="39">
        <f t="shared" si="42"/>
        <v>144.69917</v>
      </c>
      <c r="D280" s="1">
        <f t="shared" si="40"/>
        <v>98.08091</v>
      </c>
      <c r="E280" s="1">
        <f t="shared" si="41"/>
        <v>46.61826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>
        <v>98.08091</v>
      </c>
      <c r="AC280" s="4">
        <v>46.61826</v>
      </c>
      <c r="AD280" s="22"/>
      <c r="AE280" s="22"/>
      <c r="AF280" s="22"/>
      <c r="AG280" s="22"/>
      <c r="AH280" s="20"/>
      <c r="AI280" s="4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4"/>
      <c r="BA280" s="4"/>
      <c r="BB280" s="4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4"/>
      <c r="BP280" s="4"/>
      <c r="BQ280" s="4"/>
      <c r="BR280" s="4"/>
      <c r="BS280" s="4"/>
      <c r="BT280" s="22"/>
      <c r="BU280" s="24"/>
    </row>
    <row r="281" spans="1:73" ht="73.5" customHeight="1" outlineLevel="2">
      <c r="A281" s="46" t="s">
        <v>246</v>
      </c>
      <c r="B281" s="45" t="s">
        <v>105</v>
      </c>
      <c r="C281" s="39">
        <f t="shared" si="42"/>
        <v>547.39655</v>
      </c>
      <c r="D281" s="1">
        <f t="shared" si="40"/>
        <v>485.21426</v>
      </c>
      <c r="E281" s="1">
        <f t="shared" si="41"/>
        <v>62.182289999999995</v>
      </c>
      <c r="F281" s="22"/>
      <c r="G281" s="22"/>
      <c r="H281" s="22"/>
      <c r="I281" s="22"/>
      <c r="J281" s="22"/>
      <c r="K281" s="22"/>
      <c r="L281" s="22"/>
      <c r="M281" s="22"/>
      <c r="N281" s="4">
        <v>485.21426</v>
      </c>
      <c r="O281" s="4">
        <v>21.93288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22"/>
      <c r="AA281" s="22"/>
      <c r="AB281" s="4"/>
      <c r="AC281" s="4"/>
      <c r="AD281" s="22"/>
      <c r="AE281" s="22"/>
      <c r="AF281" s="22"/>
      <c r="AG281" s="22"/>
      <c r="AH281" s="20"/>
      <c r="AI281" s="4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4"/>
      <c r="BA281" s="4"/>
      <c r="BB281" s="4"/>
      <c r="BC281" s="22"/>
      <c r="BD281" s="22"/>
      <c r="BE281" s="22">
        <v>40.24941</v>
      </c>
      <c r="BF281" s="22"/>
      <c r="BG281" s="22"/>
      <c r="BH281" s="22"/>
      <c r="BI281" s="22"/>
      <c r="BJ281" s="22"/>
      <c r="BK281" s="22"/>
      <c r="BL281" s="22"/>
      <c r="BM281" s="22"/>
      <c r="BN281" s="22"/>
      <c r="BO281" s="4"/>
      <c r="BP281" s="4"/>
      <c r="BQ281" s="4"/>
      <c r="BR281" s="4"/>
      <c r="BS281" s="4"/>
      <c r="BT281" s="22"/>
      <c r="BU281" s="24"/>
    </row>
    <row r="282" spans="1:73" ht="73.5" customHeight="1" outlineLevel="2" thickBot="1">
      <c r="A282" s="46" t="s">
        <v>246</v>
      </c>
      <c r="B282" s="45" t="s">
        <v>160</v>
      </c>
      <c r="C282" s="39">
        <f t="shared" si="42"/>
        <v>1591.0846</v>
      </c>
      <c r="D282" s="1">
        <f t="shared" si="40"/>
        <v>0</v>
      </c>
      <c r="E282" s="1">
        <f t="shared" si="41"/>
        <v>1591.0846</v>
      </c>
      <c r="F282" s="22"/>
      <c r="G282" s="22"/>
      <c r="H282" s="22"/>
      <c r="I282" s="22"/>
      <c r="J282" s="22"/>
      <c r="K282" s="22"/>
      <c r="L282" s="22"/>
      <c r="M282" s="2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22"/>
      <c r="AA282" s="22"/>
      <c r="AB282" s="4"/>
      <c r="AC282" s="4"/>
      <c r="AD282" s="22"/>
      <c r="AE282" s="22"/>
      <c r="AF282" s="22"/>
      <c r="AG282" s="22"/>
      <c r="AH282" s="20"/>
      <c r="AI282" s="4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4"/>
      <c r="BA282" s="4"/>
      <c r="BB282" s="4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>
        <v>1591.0846</v>
      </c>
      <c r="BN282" s="22"/>
      <c r="BO282" s="4"/>
      <c r="BP282" s="4"/>
      <c r="BQ282" s="4"/>
      <c r="BR282" s="4"/>
      <c r="BS282" s="4"/>
      <c r="BT282" s="22"/>
      <c r="BU282" s="24"/>
    </row>
    <row r="283" spans="1:74" s="35" customFormat="1" ht="73.5" customHeight="1" outlineLevel="1" thickBot="1">
      <c r="A283" s="29" t="s">
        <v>161</v>
      </c>
      <c r="B283" s="48"/>
      <c r="C283" s="31">
        <f aca="true" t="shared" si="43" ref="C283:BN283">SUBTOTAL(9,C234:C282)</f>
        <v>57960.77151000001</v>
      </c>
      <c r="D283" s="31">
        <f t="shared" si="43"/>
        <v>28727.79727</v>
      </c>
      <c r="E283" s="31">
        <f t="shared" si="43"/>
        <v>29232.974239999992</v>
      </c>
      <c r="F283" s="31">
        <f t="shared" si="43"/>
        <v>0</v>
      </c>
      <c r="G283" s="31">
        <f t="shared" si="43"/>
        <v>0</v>
      </c>
      <c r="H283" s="31">
        <f t="shared" si="43"/>
        <v>324.56232</v>
      </c>
      <c r="I283" s="31">
        <f t="shared" si="43"/>
        <v>155.46991</v>
      </c>
      <c r="J283" s="31">
        <f t="shared" si="43"/>
        <v>1882.5130499999998</v>
      </c>
      <c r="K283" s="31">
        <f t="shared" si="43"/>
        <v>775.97064</v>
      </c>
      <c r="L283" s="31">
        <f t="shared" si="43"/>
        <v>563.84744</v>
      </c>
      <c r="M283" s="31">
        <f t="shared" si="43"/>
        <v>0</v>
      </c>
      <c r="N283" s="31">
        <f t="shared" si="43"/>
        <v>486.36533000000003</v>
      </c>
      <c r="O283" s="31">
        <f t="shared" si="43"/>
        <v>22.354020000000002</v>
      </c>
      <c r="P283" s="31">
        <f t="shared" si="43"/>
        <v>0</v>
      </c>
      <c r="Q283" s="31">
        <f t="shared" si="43"/>
        <v>0</v>
      </c>
      <c r="R283" s="31">
        <f t="shared" si="43"/>
        <v>699.76776</v>
      </c>
      <c r="S283" s="31">
        <f t="shared" si="43"/>
        <v>732.37422</v>
      </c>
      <c r="T283" s="31">
        <f t="shared" si="43"/>
        <v>0</v>
      </c>
      <c r="U283" s="31">
        <f t="shared" si="43"/>
        <v>0</v>
      </c>
      <c r="V283" s="31">
        <f t="shared" si="43"/>
        <v>0</v>
      </c>
      <c r="W283" s="31">
        <f t="shared" si="43"/>
        <v>0</v>
      </c>
      <c r="X283" s="31">
        <f t="shared" si="43"/>
        <v>0</v>
      </c>
      <c r="Y283" s="31">
        <f t="shared" si="43"/>
        <v>0</v>
      </c>
      <c r="Z283" s="31">
        <f t="shared" si="43"/>
        <v>778.40242</v>
      </c>
      <c r="AA283" s="31">
        <f t="shared" si="43"/>
        <v>749.0205</v>
      </c>
      <c r="AB283" s="31">
        <f t="shared" si="43"/>
        <v>9341.694830000004</v>
      </c>
      <c r="AC283" s="31">
        <f t="shared" si="43"/>
        <v>4395.1699</v>
      </c>
      <c r="AD283" s="31">
        <f t="shared" si="43"/>
        <v>0</v>
      </c>
      <c r="AE283" s="31">
        <f t="shared" si="43"/>
        <v>0</v>
      </c>
      <c r="AF283" s="31">
        <f t="shared" si="43"/>
        <v>0</v>
      </c>
      <c r="AG283" s="31">
        <f t="shared" si="43"/>
        <v>0</v>
      </c>
      <c r="AH283" s="31">
        <f t="shared" si="43"/>
        <v>3502.4232500000003</v>
      </c>
      <c r="AI283" s="31">
        <f t="shared" si="43"/>
        <v>1887.4729999999997</v>
      </c>
      <c r="AJ283" s="31">
        <f t="shared" si="43"/>
        <v>1614.9502500000003</v>
      </c>
      <c r="AK283" s="31">
        <f t="shared" si="43"/>
        <v>0</v>
      </c>
      <c r="AL283" s="31">
        <f t="shared" si="43"/>
        <v>0</v>
      </c>
      <c r="AM283" s="31">
        <f t="shared" si="43"/>
        <v>0</v>
      </c>
      <c r="AN283" s="31">
        <f t="shared" si="43"/>
        <v>0</v>
      </c>
      <c r="AO283" s="31">
        <f t="shared" si="43"/>
        <v>0</v>
      </c>
      <c r="AP283" s="31">
        <f t="shared" si="43"/>
        <v>0</v>
      </c>
      <c r="AQ283" s="31">
        <f t="shared" si="43"/>
        <v>60.875</v>
      </c>
      <c r="AR283" s="31">
        <f t="shared" si="43"/>
        <v>0</v>
      </c>
      <c r="AS283" s="31">
        <f t="shared" si="43"/>
        <v>0</v>
      </c>
      <c r="AT283" s="31">
        <f t="shared" si="43"/>
        <v>0</v>
      </c>
      <c r="AU283" s="31">
        <f t="shared" si="43"/>
        <v>0</v>
      </c>
      <c r="AV283" s="31">
        <f t="shared" si="43"/>
        <v>0</v>
      </c>
      <c r="AW283" s="31">
        <f t="shared" si="43"/>
        <v>0</v>
      </c>
      <c r="AX283" s="31">
        <f t="shared" si="43"/>
        <v>0</v>
      </c>
      <c r="AY283" s="31">
        <f t="shared" si="43"/>
        <v>2287.3582499999998</v>
      </c>
      <c r="AZ283" s="31">
        <f t="shared" si="43"/>
        <v>425.00572</v>
      </c>
      <c r="BA283" s="31">
        <f t="shared" si="43"/>
        <v>0</v>
      </c>
      <c r="BB283" s="31">
        <f t="shared" si="43"/>
        <v>0</v>
      </c>
      <c r="BC283" s="31">
        <f t="shared" si="43"/>
        <v>0</v>
      </c>
      <c r="BD283" s="31">
        <f t="shared" si="43"/>
        <v>1666.07035</v>
      </c>
      <c r="BE283" s="31">
        <f t="shared" si="43"/>
        <v>5329.7448699999995</v>
      </c>
      <c r="BF283" s="31">
        <f t="shared" si="43"/>
        <v>12927.133310000001</v>
      </c>
      <c r="BG283" s="31">
        <f t="shared" si="43"/>
        <v>8053.85315</v>
      </c>
      <c r="BH283" s="31">
        <f t="shared" si="43"/>
        <v>0</v>
      </c>
      <c r="BI283" s="31">
        <f t="shared" si="43"/>
        <v>0</v>
      </c>
      <c r="BJ283" s="31">
        <f t="shared" si="43"/>
        <v>1209.71067</v>
      </c>
      <c r="BK283" s="31">
        <f t="shared" si="43"/>
        <v>0</v>
      </c>
      <c r="BL283" s="31">
        <f t="shared" si="43"/>
        <v>0</v>
      </c>
      <c r="BM283" s="31">
        <f t="shared" si="43"/>
        <v>1591.0846</v>
      </c>
      <c r="BN283" s="31">
        <f t="shared" si="43"/>
        <v>0</v>
      </c>
      <c r="BO283" s="31">
        <f aca="true" t="shared" si="44" ref="BO283:BT283">SUBTOTAL(9,BO234:BO282)</f>
        <v>0</v>
      </c>
      <c r="BP283" s="31">
        <f t="shared" si="44"/>
        <v>0</v>
      </c>
      <c r="BQ283" s="31">
        <f t="shared" si="44"/>
        <v>0</v>
      </c>
      <c r="BR283" s="31">
        <f t="shared" si="44"/>
        <v>0</v>
      </c>
      <c r="BS283" s="32">
        <f t="shared" si="44"/>
        <v>0</v>
      </c>
      <c r="BT283" s="32">
        <f t="shared" si="44"/>
        <v>0</v>
      </c>
      <c r="BU283" s="33"/>
      <c r="BV283" s="34"/>
    </row>
    <row r="284" spans="1:73" ht="73.5" customHeight="1" outlineLevel="2">
      <c r="A284" s="36" t="s">
        <v>460</v>
      </c>
      <c r="B284" s="37" t="s">
        <v>149</v>
      </c>
      <c r="C284" s="39">
        <f>D284+E284</f>
        <v>2154.56206</v>
      </c>
      <c r="D284" s="1">
        <f aca="true" t="shared" si="45" ref="D284:D327">F284+J284+N284+R284+T284+Z284+AB284+AD284+AF284+AM284+AO284+AT284+AY284+BF284+BO284+BS284+H284+V284+X284+BQ284+AR284+BH284</f>
        <v>1047.88239</v>
      </c>
      <c r="E284" s="1">
        <f aca="true" t="shared" si="46" ref="E284:E327">G284+I284+K284+L284+M284+O284+P284+Q284+S284+U284+W284+Y284+AA284+AC284+AE284+AG284+AH284+AK284+AL284+AN284+AP284+AQ284+AS284+AU284+AV284+AW284+AX284+AZ284+BA284+BB284+BC284+BD284+BE284+BG284+BI284+BJ284+BK284+BL284+BM284+BN284+BU284+BP284+BR284+BT284</f>
        <v>1106.67967</v>
      </c>
      <c r="F284" s="40"/>
      <c r="G284" s="40"/>
      <c r="H284" s="40"/>
      <c r="I284" s="40"/>
      <c r="J284" s="40"/>
      <c r="K284" s="40"/>
      <c r="L284" s="40"/>
      <c r="M284" s="40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0"/>
      <c r="AA284" s="40">
        <v>101.25</v>
      </c>
      <c r="AB284" s="42"/>
      <c r="AC284" s="41"/>
      <c r="AD284" s="40"/>
      <c r="AE284" s="40"/>
      <c r="AF284" s="40"/>
      <c r="AG284" s="40"/>
      <c r="AH284" s="43">
        <f>158.63408+193.021</f>
        <v>351.65508</v>
      </c>
      <c r="AI284" s="41">
        <v>193.021</v>
      </c>
      <c r="AJ284" s="40">
        <v>158.63408</v>
      </c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1"/>
      <c r="BA284" s="41"/>
      <c r="BB284" s="41"/>
      <c r="BC284" s="40"/>
      <c r="BD284" s="40"/>
      <c r="BE284" s="40"/>
      <c r="BF284" s="40">
        <v>1047.88239</v>
      </c>
      <c r="BG284" s="40">
        <v>653.77459</v>
      </c>
      <c r="BH284" s="40"/>
      <c r="BI284" s="40"/>
      <c r="BJ284" s="40"/>
      <c r="BK284" s="40"/>
      <c r="BL284" s="40"/>
      <c r="BM284" s="40"/>
      <c r="BN284" s="40"/>
      <c r="BO284" s="41"/>
      <c r="BP284" s="41"/>
      <c r="BQ284" s="41"/>
      <c r="BR284" s="41"/>
      <c r="BS284" s="4"/>
      <c r="BT284" s="22"/>
      <c r="BU284" s="24"/>
    </row>
    <row r="285" spans="1:73" ht="73.5" customHeight="1" outlineLevel="2">
      <c r="A285" s="46" t="s">
        <v>460</v>
      </c>
      <c r="B285" s="26" t="s">
        <v>199</v>
      </c>
      <c r="C285" s="39">
        <f aca="true" t="shared" si="47" ref="C285:C327">D285+E285</f>
        <v>49156.59335</v>
      </c>
      <c r="D285" s="1">
        <f t="shared" si="45"/>
        <v>15567.62752</v>
      </c>
      <c r="E285" s="1">
        <f t="shared" si="46"/>
        <v>33588.96583</v>
      </c>
      <c r="F285" s="22"/>
      <c r="G285" s="22"/>
      <c r="H285" s="22"/>
      <c r="I285" s="22"/>
      <c r="J285" s="22">
        <v>22.02481</v>
      </c>
      <c r="K285" s="22">
        <v>3.78282</v>
      </c>
      <c r="L285" s="22"/>
      <c r="M285" s="2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22"/>
      <c r="AA285" s="22"/>
      <c r="AB285" s="4"/>
      <c r="AC285" s="4"/>
      <c r="AD285" s="22"/>
      <c r="AE285" s="22"/>
      <c r="AF285" s="22"/>
      <c r="AG285" s="22"/>
      <c r="AH285" s="20"/>
      <c r="AI285" s="4"/>
      <c r="AJ285" s="22"/>
      <c r="AK285" s="22">
        <v>22550.981</v>
      </c>
      <c r="AL285" s="22"/>
      <c r="AM285" s="22">
        <v>14940</v>
      </c>
      <c r="AN285" s="22">
        <v>9960</v>
      </c>
      <c r="AO285" s="22"/>
      <c r="AP285" s="22"/>
      <c r="AQ285" s="22"/>
      <c r="AR285" s="22"/>
      <c r="AS285" s="22"/>
      <c r="AT285" s="22">
        <v>450</v>
      </c>
      <c r="AU285" s="22">
        <v>360</v>
      </c>
      <c r="AV285" s="22">
        <v>66.873</v>
      </c>
      <c r="AW285" s="22"/>
      <c r="AX285" s="22"/>
      <c r="AY285" s="22"/>
      <c r="AZ285" s="4"/>
      <c r="BA285" s="4"/>
      <c r="BB285" s="4"/>
      <c r="BC285" s="22"/>
      <c r="BD285" s="22"/>
      <c r="BE285" s="22"/>
      <c r="BF285" s="22">
        <v>155.60271</v>
      </c>
      <c r="BG285" s="22">
        <v>97.47646</v>
      </c>
      <c r="BH285" s="22"/>
      <c r="BI285" s="22"/>
      <c r="BJ285" s="22">
        <v>549.85255</v>
      </c>
      <c r="BK285" s="22"/>
      <c r="BL285" s="22"/>
      <c r="BM285" s="22"/>
      <c r="BN285" s="22"/>
      <c r="BO285" s="4"/>
      <c r="BP285" s="4"/>
      <c r="BQ285" s="4"/>
      <c r="BR285" s="4"/>
      <c r="BS285" s="4"/>
      <c r="BT285" s="22"/>
      <c r="BU285" s="24"/>
    </row>
    <row r="286" spans="1:73" ht="73.5" customHeight="1" outlineLevel="2">
      <c r="A286" s="46" t="s">
        <v>460</v>
      </c>
      <c r="B286" s="26" t="s">
        <v>699</v>
      </c>
      <c r="C286" s="39">
        <f t="shared" si="47"/>
        <v>9384.681789999999</v>
      </c>
      <c r="D286" s="1">
        <f t="shared" si="45"/>
        <v>3696.29686</v>
      </c>
      <c r="E286" s="1">
        <f t="shared" si="46"/>
        <v>5688.384929999999</v>
      </c>
      <c r="F286" s="22"/>
      <c r="G286" s="22"/>
      <c r="H286" s="22"/>
      <c r="I286" s="22"/>
      <c r="J286" s="22"/>
      <c r="K286" s="22"/>
      <c r="L286" s="22"/>
      <c r="M286" s="2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22">
        <v>34.75158</v>
      </c>
      <c r="AA286" s="22">
        <v>47.7495</v>
      </c>
      <c r="AB286" s="23">
        <v>847.70559</v>
      </c>
      <c r="AC286" s="4">
        <v>193.93198</v>
      </c>
      <c r="AD286" s="22"/>
      <c r="AE286" s="22"/>
      <c r="AF286" s="22"/>
      <c r="AG286" s="22"/>
      <c r="AH286" s="20">
        <f>222.0174+154.1664+176.5295</f>
        <v>552.7133</v>
      </c>
      <c r="AI286" s="4">
        <v>176.5295</v>
      </c>
      <c r="AJ286" s="22">
        <v>376.1838</v>
      </c>
      <c r="AK286" s="22"/>
      <c r="AL286" s="22">
        <v>3479.96492</v>
      </c>
      <c r="AM286" s="22"/>
      <c r="AN286" s="22"/>
      <c r="AO286" s="22">
        <v>2088.8646</v>
      </c>
      <c r="AP286" s="22">
        <v>961.44</v>
      </c>
      <c r="AQ286" s="22"/>
      <c r="AR286" s="22"/>
      <c r="AS286" s="22"/>
      <c r="AT286" s="22"/>
      <c r="AU286" s="22"/>
      <c r="AV286" s="22"/>
      <c r="AW286" s="22"/>
      <c r="AX286" s="22"/>
      <c r="AY286" s="22"/>
      <c r="AZ286" s="4"/>
      <c r="BA286" s="4"/>
      <c r="BB286" s="4"/>
      <c r="BC286" s="22"/>
      <c r="BD286" s="22"/>
      <c r="BE286" s="22"/>
      <c r="BF286" s="22">
        <f>780.98209-56.007</f>
        <v>724.97509</v>
      </c>
      <c r="BG286" s="22">
        <f>487.75423-35.169</f>
        <v>452.58523</v>
      </c>
      <c r="BH286" s="22"/>
      <c r="BI286" s="22"/>
      <c r="BJ286" s="22"/>
      <c r="BK286" s="22"/>
      <c r="BL286" s="22"/>
      <c r="BM286" s="22"/>
      <c r="BN286" s="22"/>
      <c r="BO286" s="4"/>
      <c r="BP286" s="4"/>
      <c r="BQ286" s="4"/>
      <c r="BR286" s="4"/>
      <c r="BS286" s="4"/>
      <c r="BT286" s="22"/>
      <c r="BU286" s="24"/>
    </row>
    <row r="287" spans="1:73" ht="73.5" customHeight="1" outlineLevel="2">
      <c r="A287" s="46" t="s">
        <v>460</v>
      </c>
      <c r="B287" s="26" t="s">
        <v>700</v>
      </c>
      <c r="C287" s="39">
        <f t="shared" si="47"/>
        <v>14515.22257</v>
      </c>
      <c r="D287" s="1">
        <f t="shared" si="45"/>
        <v>10889.86218</v>
      </c>
      <c r="E287" s="1">
        <f t="shared" si="46"/>
        <v>3625.3603900000003</v>
      </c>
      <c r="F287" s="22">
        <v>10579.41486</v>
      </c>
      <c r="G287" s="22">
        <v>3577.95161</v>
      </c>
      <c r="H287" s="22"/>
      <c r="I287" s="22"/>
      <c r="J287" s="22"/>
      <c r="K287" s="22"/>
      <c r="L287" s="22"/>
      <c r="M287" s="2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22"/>
      <c r="AA287" s="22"/>
      <c r="AB287" s="4"/>
      <c r="AC287" s="4"/>
      <c r="AD287" s="22">
        <v>310.44732</v>
      </c>
      <c r="AE287" s="22">
        <v>47.40878</v>
      </c>
      <c r="AF287" s="22"/>
      <c r="AG287" s="22"/>
      <c r="AH287" s="20"/>
      <c r="AI287" s="4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4"/>
      <c r="BA287" s="4"/>
      <c r="BB287" s="4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4"/>
      <c r="BP287" s="4"/>
      <c r="BQ287" s="4"/>
      <c r="BR287" s="4"/>
      <c r="BS287" s="4"/>
      <c r="BT287" s="22"/>
      <c r="BU287" s="24"/>
    </row>
    <row r="288" spans="1:73" ht="73.5" customHeight="1" outlineLevel="2">
      <c r="A288" s="46" t="s">
        <v>460</v>
      </c>
      <c r="B288" s="26" t="s">
        <v>462</v>
      </c>
      <c r="C288" s="39">
        <f t="shared" si="47"/>
        <v>6075.040260000001</v>
      </c>
      <c r="D288" s="1">
        <f t="shared" si="45"/>
        <v>4628.11973</v>
      </c>
      <c r="E288" s="1">
        <f t="shared" si="46"/>
        <v>1446.92053</v>
      </c>
      <c r="F288" s="22">
        <v>4628.11973</v>
      </c>
      <c r="G288" s="22">
        <v>1446.92053</v>
      </c>
      <c r="H288" s="22"/>
      <c r="I288" s="22"/>
      <c r="J288" s="22"/>
      <c r="K288" s="22"/>
      <c r="L288" s="22"/>
      <c r="M288" s="2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22"/>
      <c r="AA288" s="22"/>
      <c r="AB288" s="4"/>
      <c r="AC288" s="4"/>
      <c r="AD288" s="22"/>
      <c r="AE288" s="22"/>
      <c r="AF288" s="22"/>
      <c r="AG288" s="22"/>
      <c r="AH288" s="20"/>
      <c r="AI288" s="4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4"/>
      <c r="BA288" s="4"/>
      <c r="BB288" s="4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4"/>
      <c r="BP288" s="4"/>
      <c r="BQ288" s="4"/>
      <c r="BR288" s="4"/>
      <c r="BS288" s="4"/>
      <c r="BT288" s="22"/>
      <c r="BU288" s="24"/>
    </row>
    <row r="289" spans="1:73" ht="73.5" customHeight="1" outlineLevel="2">
      <c r="A289" s="46" t="s">
        <v>460</v>
      </c>
      <c r="B289" s="26" t="s">
        <v>58</v>
      </c>
      <c r="C289" s="39">
        <f t="shared" si="47"/>
        <v>23.47672</v>
      </c>
      <c r="D289" s="1">
        <f t="shared" si="45"/>
        <v>14.4411</v>
      </c>
      <c r="E289" s="1">
        <f t="shared" si="46"/>
        <v>9.03562</v>
      </c>
      <c r="F289" s="22"/>
      <c r="G289" s="22"/>
      <c r="H289" s="22"/>
      <c r="I289" s="22"/>
      <c r="J289" s="22"/>
      <c r="K289" s="22"/>
      <c r="L289" s="22"/>
      <c r="M289" s="2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22"/>
      <c r="AA289" s="22"/>
      <c r="AB289" s="23"/>
      <c r="AC289" s="4"/>
      <c r="AD289" s="22"/>
      <c r="AE289" s="22"/>
      <c r="AF289" s="22"/>
      <c r="AG289" s="22"/>
      <c r="AH289" s="20"/>
      <c r="AI289" s="4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4"/>
      <c r="BA289" s="4"/>
      <c r="BB289" s="4"/>
      <c r="BC289" s="22"/>
      <c r="BD289" s="22"/>
      <c r="BE289" s="22"/>
      <c r="BF289" s="22">
        <v>14.4411</v>
      </c>
      <c r="BG289" s="22">
        <v>9.03562</v>
      </c>
      <c r="BH289" s="22"/>
      <c r="BI289" s="22"/>
      <c r="BJ289" s="22"/>
      <c r="BK289" s="22"/>
      <c r="BL289" s="22"/>
      <c r="BM289" s="22"/>
      <c r="BN289" s="22"/>
      <c r="BO289" s="4"/>
      <c r="BP289" s="4"/>
      <c r="BQ289" s="4"/>
      <c r="BR289" s="4"/>
      <c r="BS289" s="4"/>
      <c r="BT289" s="22"/>
      <c r="BU289" s="24"/>
    </row>
    <row r="290" spans="1:73" ht="73.5" customHeight="1" outlineLevel="2">
      <c r="A290" s="46" t="s">
        <v>460</v>
      </c>
      <c r="B290" s="26" t="s">
        <v>197</v>
      </c>
      <c r="C290" s="39">
        <f t="shared" si="47"/>
        <v>2543.99417</v>
      </c>
      <c r="D290" s="1">
        <f t="shared" si="45"/>
        <v>1258.49507</v>
      </c>
      <c r="E290" s="1">
        <f t="shared" si="46"/>
        <v>1285.4991</v>
      </c>
      <c r="F290" s="22"/>
      <c r="G290" s="22"/>
      <c r="H290" s="22"/>
      <c r="I290" s="22"/>
      <c r="J290" s="22"/>
      <c r="K290" s="22"/>
      <c r="L290" s="22"/>
      <c r="M290" s="2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22"/>
      <c r="AA290" s="22">
        <v>90.4365</v>
      </c>
      <c r="AB290" s="23">
        <v>161.51455</v>
      </c>
      <c r="AC290" s="4">
        <v>186.47305</v>
      </c>
      <c r="AD290" s="22"/>
      <c r="AE290" s="22"/>
      <c r="AF290" s="22"/>
      <c r="AG290" s="22"/>
      <c r="AH290" s="20">
        <f>125.2602+121.4338</f>
        <v>246.69400000000002</v>
      </c>
      <c r="AI290" s="4">
        <v>121.4338</v>
      </c>
      <c r="AJ290" s="22">
        <v>125.2602</v>
      </c>
      <c r="AK290" s="22"/>
      <c r="AL290" s="22">
        <v>78.384</v>
      </c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>
        <v>405.46241</v>
      </c>
      <c r="AZ290" s="4">
        <v>251.5246</v>
      </c>
      <c r="BA290" s="4"/>
      <c r="BB290" s="4"/>
      <c r="BC290" s="22"/>
      <c r="BD290" s="22"/>
      <c r="BE290" s="22"/>
      <c r="BF290" s="22">
        <v>691.51811</v>
      </c>
      <c r="BG290" s="22">
        <v>431.98695</v>
      </c>
      <c r="BH290" s="22"/>
      <c r="BI290" s="22"/>
      <c r="BJ290" s="22"/>
      <c r="BK290" s="22"/>
      <c r="BL290" s="22"/>
      <c r="BM290" s="22"/>
      <c r="BN290" s="22"/>
      <c r="BO290" s="4"/>
      <c r="BP290" s="4"/>
      <c r="BQ290" s="4"/>
      <c r="BR290" s="4"/>
      <c r="BS290" s="4"/>
      <c r="BT290" s="22"/>
      <c r="BU290" s="24"/>
    </row>
    <row r="291" spans="1:73" ht="73.5" customHeight="1" outlineLevel="2">
      <c r="A291" s="46" t="s">
        <v>460</v>
      </c>
      <c r="B291" s="26" t="s">
        <v>395</v>
      </c>
      <c r="C291" s="39">
        <f t="shared" si="47"/>
        <v>11409.33698</v>
      </c>
      <c r="D291" s="1">
        <f t="shared" si="45"/>
        <v>7147.684810000001</v>
      </c>
      <c r="E291" s="1">
        <f t="shared" si="46"/>
        <v>4261.652169999999</v>
      </c>
      <c r="F291" s="22"/>
      <c r="G291" s="22"/>
      <c r="H291" s="22"/>
      <c r="I291" s="22"/>
      <c r="J291" s="22"/>
      <c r="K291" s="22"/>
      <c r="L291" s="22"/>
      <c r="M291" s="2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22">
        <v>52.12737</v>
      </c>
      <c r="AA291" s="22">
        <v>157.0185</v>
      </c>
      <c r="AB291" s="23">
        <v>471.89067</v>
      </c>
      <c r="AC291" s="4">
        <v>349.63698</v>
      </c>
      <c r="AD291" s="22"/>
      <c r="AE291" s="22"/>
      <c r="AF291" s="22"/>
      <c r="AG291" s="22"/>
      <c r="AH291" s="20">
        <f>238.47615+253.7379</f>
        <v>492.21405</v>
      </c>
      <c r="AI291" s="4">
        <v>253.7379</v>
      </c>
      <c r="AJ291" s="22">
        <v>238.47615</v>
      </c>
      <c r="AK291" s="22"/>
      <c r="AL291" s="22">
        <f>27.8852+41.23083</f>
        <v>69.11603</v>
      </c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>
        <v>4884.87329</v>
      </c>
      <c r="AZ291" s="4">
        <v>2108.51665</v>
      </c>
      <c r="BA291" s="4"/>
      <c r="BB291" s="4"/>
      <c r="BC291" s="22"/>
      <c r="BD291" s="22"/>
      <c r="BE291" s="22"/>
      <c r="BF291" s="22">
        <v>1738.79348</v>
      </c>
      <c r="BG291" s="22">
        <v>1085.14996</v>
      </c>
      <c r="BH291" s="22"/>
      <c r="BI291" s="22"/>
      <c r="BJ291" s="22"/>
      <c r="BK291" s="22"/>
      <c r="BL291" s="22"/>
      <c r="BM291" s="22"/>
      <c r="BN291" s="22"/>
      <c r="BO291" s="4"/>
      <c r="BP291" s="4"/>
      <c r="BQ291" s="4"/>
      <c r="BR291" s="4"/>
      <c r="BS291" s="4"/>
      <c r="BT291" s="22"/>
      <c r="BU291" s="24"/>
    </row>
    <row r="292" spans="1:73" ht="73.5" customHeight="1" outlineLevel="2">
      <c r="A292" s="46" t="s">
        <v>460</v>
      </c>
      <c r="B292" s="26" t="s">
        <v>790</v>
      </c>
      <c r="C292" s="39">
        <f t="shared" si="47"/>
        <v>8727.0426</v>
      </c>
      <c r="D292" s="1">
        <f t="shared" si="45"/>
        <v>0</v>
      </c>
      <c r="E292" s="1">
        <f t="shared" si="46"/>
        <v>8727.0426</v>
      </c>
      <c r="F292" s="22"/>
      <c r="G292" s="22"/>
      <c r="H292" s="22"/>
      <c r="I292" s="22"/>
      <c r="J292" s="22"/>
      <c r="K292" s="22"/>
      <c r="L292" s="22"/>
      <c r="M292" s="22">
        <v>8727.0426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22"/>
      <c r="AA292" s="22"/>
      <c r="AB292" s="23"/>
      <c r="AC292" s="4"/>
      <c r="AD292" s="22"/>
      <c r="AE292" s="22"/>
      <c r="AF292" s="22"/>
      <c r="AG292" s="22"/>
      <c r="AH292" s="20"/>
      <c r="AI292" s="4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4"/>
      <c r="BA292" s="4"/>
      <c r="BB292" s="4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4"/>
      <c r="BP292" s="4"/>
      <c r="BQ292" s="4"/>
      <c r="BR292" s="4"/>
      <c r="BS292" s="4"/>
      <c r="BT292" s="22"/>
      <c r="BU292" s="24"/>
    </row>
    <row r="293" spans="1:73" ht="73.5" customHeight="1" outlineLevel="2">
      <c r="A293" s="46" t="s">
        <v>460</v>
      </c>
      <c r="B293" s="26" t="s">
        <v>396</v>
      </c>
      <c r="C293" s="39">
        <f t="shared" si="47"/>
        <v>1427.15692</v>
      </c>
      <c r="D293" s="1">
        <f t="shared" si="45"/>
        <v>637.97899</v>
      </c>
      <c r="E293" s="1">
        <f t="shared" si="46"/>
        <v>789.1779300000001</v>
      </c>
      <c r="F293" s="22"/>
      <c r="G293" s="22"/>
      <c r="H293" s="22"/>
      <c r="I293" s="22"/>
      <c r="J293" s="22"/>
      <c r="K293" s="22"/>
      <c r="L293" s="22"/>
      <c r="M293" s="2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22"/>
      <c r="AA293" s="22">
        <v>27.702</v>
      </c>
      <c r="AB293" s="23">
        <v>270.05107</v>
      </c>
      <c r="AC293" s="4">
        <v>89.27398</v>
      </c>
      <c r="AD293" s="22"/>
      <c r="AE293" s="22"/>
      <c r="AF293" s="22"/>
      <c r="AG293" s="22"/>
      <c r="AH293" s="20">
        <f>69.85665+60.7169</f>
        <v>130.57355</v>
      </c>
      <c r="AI293" s="4">
        <v>60.7169</v>
      </c>
      <c r="AJ293" s="22">
        <v>69.85665</v>
      </c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4"/>
      <c r="BA293" s="4"/>
      <c r="BB293" s="4"/>
      <c r="BC293" s="22"/>
      <c r="BD293" s="22"/>
      <c r="BE293" s="22">
        <v>311.98576</v>
      </c>
      <c r="BF293" s="22">
        <f>373.902-5.97408</f>
        <v>367.92792</v>
      </c>
      <c r="BG293" s="22">
        <f>233.394-3.75136</f>
        <v>229.64264</v>
      </c>
      <c r="BH293" s="22"/>
      <c r="BI293" s="22"/>
      <c r="BJ293" s="22"/>
      <c r="BK293" s="22"/>
      <c r="BL293" s="22"/>
      <c r="BM293" s="22"/>
      <c r="BN293" s="22"/>
      <c r="BO293" s="4"/>
      <c r="BP293" s="4"/>
      <c r="BQ293" s="4"/>
      <c r="BR293" s="4"/>
      <c r="BS293" s="4"/>
      <c r="BT293" s="22"/>
      <c r="BU293" s="24"/>
    </row>
    <row r="294" spans="1:73" ht="73.5" customHeight="1" outlineLevel="2">
      <c r="A294" s="46" t="s">
        <v>460</v>
      </c>
      <c r="B294" s="26" t="s">
        <v>303</v>
      </c>
      <c r="C294" s="39">
        <f t="shared" si="47"/>
        <v>17206.14132</v>
      </c>
      <c r="D294" s="1">
        <f t="shared" si="45"/>
        <v>0</v>
      </c>
      <c r="E294" s="1">
        <f t="shared" si="46"/>
        <v>17206.14132</v>
      </c>
      <c r="F294" s="22"/>
      <c r="G294" s="22"/>
      <c r="H294" s="22"/>
      <c r="I294" s="22"/>
      <c r="J294" s="22"/>
      <c r="K294" s="22"/>
      <c r="L294" s="22"/>
      <c r="M294" s="22">
        <f>3085.2864+5005.00089+4905.68652+4210.16751</f>
        <v>17206.14132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22"/>
      <c r="AA294" s="22"/>
      <c r="AB294" s="4"/>
      <c r="AC294" s="4"/>
      <c r="AD294" s="22"/>
      <c r="AE294" s="22"/>
      <c r="AF294" s="22"/>
      <c r="AG294" s="22"/>
      <c r="AH294" s="20"/>
      <c r="AI294" s="4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4"/>
      <c r="BA294" s="4"/>
      <c r="BB294" s="4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4"/>
      <c r="BP294" s="4"/>
      <c r="BQ294" s="4"/>
      <c r="BR294" s="4"/>
      <c r="BS294" s="4"/>
      <c r="BT294" s="22"/>
      <c r="BU294" s="24"/>
    </row>
    <row r="295" spans="1:73" ht="73.5" customHeight="1" outlineLevel="2">
      <c r="A295" s="46" t="s">
        <v>460</v>
      </c>
      <c r="B295" s="26" t="s">
        <v>166</v>
      </c>
      <c r="C295" s="39">
        <f t="shared" si="47"/>
        <v>283.40004999999996</v>
      </c>
      <c r="D295" s="1">
        <f t="shared" si="45"/>
        <v>143.46455</v>
      </c>
      <c r="E295" s="1">
        <f t="shared" si="46"/>
        <v>139.9355</v>
      </c>
      <c r="F295" s="22"/>
      <c r="G295" s="22"/>
      <c r="H295" s="22"/>
      <c r="I295" s="22"/>
      <c r="J295" s="22"/>
      <c r="K295" s="22"/>
      <c r="L295" s="22"/>
      <c r="M295" s="2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22">
        <v>128.35545</v>
      </c>
      <c r="AA295" s="22">
        <v>130.58353</v>
      </c>
      <c r="AB295" s="4"/>
      <c r="AC295" s="4"/>
      <c r="AD295" s="22"/>
      <c r="AE295" s="22"/>
      <c r="AF295" s="22"/>
      <c r="AG295" s="22"/>
      <c r="AH295" s="20"/>
      <c r="AI295" s="4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4"/>
      <c r="BA295" s="4"/>
      <c r="BB295" s="4"/>
      <c r="BC295" s="22"/>
      <c r="BD295" s="22"/>
      <c r="BE295" s="22"/>
      <c r="BF295" s="22">
        <v>15.1091</v>
      </c>
      <c r="BG295" s="22">
        <v>9.35197</v>
      </c>
      <c r="BH295" s="22"/>
      <c r="BI295" s="22"/>
      <c r="BJ295" s="22"/>
      <c r="BK295" s="22"/>
      <c r="BL295" s="22"/>
      <c r="BM295" s="22"/>
      <c r="BN295" s="22"/>
      <c r="BO295" s="4"/>
      <c r="BP295" s="4"/>
      <c r="BQ295" s="4"/>
      <c r="BR295" s="4"/>
      <c r="BS295" s="4"/>
      <c r="BT295" s="22"/>
      <c r="BU295" s="24"/>
    </row>
    <row r="296" spans="1:73" ht="73.5" customHeight="1" outlineLevel="2">
      <c r="A296" s="46" t="s">
        <v>460</v>
      </c>
      <c r="B296" s="26" t="s">
        <v>440</v>
      </c>
      <c r="C296" s="39">
        <f t="shared" si="47"/>
        <v>7373.990060000001</v>
      </c>
      <c r="D296" s="1">
        <f t="shared" si="45"/>
        <v>1342.82406</v>
      </c>
      <c r="E296" s="1">
        <f t="shared" si="46"/>
        <v>6031.166000000001</v>
      </c>
      <c r="F296" s="22"/>
      <c r="G296" s="22"/>
      <c r="H296" s="22"/>
      <c r="I296" s="22"/>
      <c r="J296" s="22"/>
      <c r="K296" s="22"/>
      <c r="L296" s="22"/>
      <c r="M296" s="22">
        <v>4210.16751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22">
        <v>43.43947</v>
      </c>
      <c r="AA296" s="22">
        <v>59.697</v>
      </c>
      <c r="AB296" s="23">
        <v>295.79979</v>
      </c>
      <c r="AC296" s="4">
        <v>229.59495</v>
      </c>
      <c r="AD296" s="22"/>
      <c r="AE296" s="22"/>
      <c r="AF296" s="22"/>
      <c r="AG296" s="22"/>
      <c r="AH296" s="20">
        <f>120.77822+154.4168</f>
        <v>275.19502</v>
      </c>
      <c r="AI296" s="4">
        <v>154.4168</v>
      </c>
      <c r="AJ296" s="22">
        <v>120.77822</v>
      </c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>
        <v>122.728</v>
      </c>
      <c r="AX296" s="22">
        <v>507.52</v>
      </c>
      <c r="AY296" s="22"/>
      <c r="AZ296" s="4"/>
      <c r="BA296" s="4"/>
      <c r="BB296" s="4"/>
      <c r="BC296" s="22"/>
      <c r="BD296" s="22"/>
      <c r="BE296" s="22"/>
      <c r="BF296" s="22">
        <v>1003.5848</v>
      </c>
      <c r="BG296" s="22">
        <v>626.26352</v>
      </c>
      <c r="BH296" s="22"/>
      <c r="BI296" s="22"/>
      <c r="BJ296" s="22"/>
      <c r="BK296" s="22"/>
      <c r="BL296" s="22"/>
      <c r="BM296" s="22"/>
      <c r="BN296" s="22"/>
      <c r="BO296" s="4"/>
      <c r="BP296" s="4"/>
      <c r="BQ296" s="4"/>
      <c r="BR296" s="4"/>
      <c r="BS296" s="4"/>
      <c r="BT296" s="22"/>
      <c r="BU296" s="24"/>
    </row>
    <row r="297" spans="1:73" ht="73.5" customHeight="1" outlineLevel="2">
      <c r="A297" s="46" t="s">
        <v>460</v>
      </c>
      <c r="B297" s="26" t="s">
        <v>441</v>
      </c>
      <c r="C297" s="39">
        <f t="shared" si="47"/>
        <v>37.405860000000004</v>
      </c>
      <c r="D297" s="1">
        <f t="shared" si="45"/>
        <v>23.01817</v>
      </c>
      <c r="E297" s="1">
        <f t="shared" si="46"/>
        <v>14.38769</v>
      </c>
      <c r="F297" s="22"/>
      <c r="G297" s="22"/>
      <c r="H297" s="22"/>
      <c r="I297" s="22"/>
      <c r="J297" s="22"/>
      <c r="K297" s="22"/>
      <c r="L297" s="22"/>
      <c r="M297" s="2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22"/>
      <c r="AA297" s="22"/>
      <c r="AB297" s="4"/>
      <c r="AC297" s="4"/>
      <c r="AD297" s="22"/>
      <c r="AE297" s="22"/>
      <c r="AF297" s="22"/>
      <c r="AG297" s="22"/>
      <c r="AH297" s="20"/>
      <c r="AI297" s="4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4"/>
      <c r="BA297" s="4"/>
      <c r="BB297" s="4"/>
      <c r="BC297" s="22"/>
      <c r="BD297" s="22"/>
      <c r="BE297" s="22"/>
      <c r="BF297" s="22">
        <v>23.01817</v>
      </c>
      <c r="BG297" s="22">
        <v>14.38769</v>
      </c>
      <c r="BH297" s="22"/>
      <c r="BI297" s="22"/>
      <c r="BJ297" s="22"/>
      <c r="BK297" s="22"/>
      <c r="BL297" s="22"/>
      <c r="BM297" s="22"/>
      <c r="BN297" s="22"/>
      <c r="BO297" s="4"/>
      <c r="BP297" s="4"/>
      <c r="BQ297" s="4"/>
      <c r="BR297" s="4"/>
      <c r="BS297" s="4"/>
      <c r="BT297" s="22"/>
      <c r="BU297" s="24"/>
    </row>
    <row r="298" spans="1:73" ht="73.5" customHeight="1" outlineLevel="2">
      <c r="A298" s="46" t="s">
        <v>460</v>
      </c>
      <c r="B298" s="26" t="s">
        <v>257</v>
      </c>
      <c r="C298" s="39">
        <f t="shared" si="47"/>
        <v>6922.39678</v>
      </c>
      <c r="D298" s="1">
        <f t="shared" si="45"/>
        <v>716.9950699999999</v>
      </c>
      <c r="E298" s="1">
        <f t="shared" si="46"/>
        <v>6205.40171</v>
      </c>
      <c r="F298" s="22"/>
      <c r="G298" s="22"/>
      <c r="H298" s="22"/>
      <c r="I298" s="22"/>
      <c r="J298" s="22"/>
      <c r="K298" s="22"/>
      <c r="L298" s="22"/>
      <c r="M298" s="2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22"/>
      <c r="AA298" s="22">
        <v>139.239</v>
      </c>
      <c r="AB298" s="23">
        <v>262.49231</v>
      </c>
      <c r="AC298" s="4">
        <v>104.89109</v>
      </c>
      <c r="AD298" s="22"/>
      <c r="AE298" s="22"/>
      <c r="AF298" s="22"/>
      <c r="AG298" s="22"/>
      <c r="AH298" s="20"/>
      <c r="AI298" s="4"/>
      <c r="AJ298" s="22"/>
      <c r="AK298" s="22"/>
      <c r="AL298" s="22">
        <f>805.2464+2205.8316+295.21888+138.46786</f>
        <v>3444.76474</v>
      </c>
      <c r="AM298" s="22"/>
      <c r="AN298" s="22"/>
      <c r="AO298" s="22"/>
      <c r="AP298" s="22"/>
      <c r="AQ298" s="22">
        <v>2232</v>
      </c>
      <c r="AR298" s="22"/>
      <c r="AS298" s="22"/>
      <c r="AT298" s="22"/>
      <c r="AU298" s="22"/>
      <c r="AV298" s="22"/>
      <c r="AW298" s="22"/>
      <c r="AX298" s="22"/>
      <c r="AY298" s="22"/>
      <c r="AZ298" s="4"/>
      <c r="BA298" s="4"/>
      <c r="BB298" s="4"/>
      <c r="BC298" s="22"/>
      <c r="BD298" s="22"/>
      <c r="BE298" s="22"/>
      <c r="BF298" s="22">
        <v>454.50276</v>
      </c>
      <c r="BG298" s="22">
        <v>284.50688</v>
      </c>
      <c r="BH298" s="22"/>
      <c r="BI298" s="22"/>
      <c r="BJ298" s="22"/>
      <c r="BK298" s="22"/>
      <c r="BL298" s="22"/>
      <c r="BM298" s="22"/>
      <c r="BN298" s="22"/>
      <c r="BO298" s="4"/>
      <c r="BP298" s="4"/>
      <c r="BQ298" s="4"/>
      <c r="BR298" s="4"/>
      <c r="BS298" s="4"/>
      <c r="BT298" s="22"/>
      <c r="BU298" s="24"/>
    </row>
    <row r="299" spans="1:73" ht="73.5" customHeight="1" outlineLevel="2">
      <c r="A299" s="46" t="s">
        <v>460</v>
      </c>
      <c r="B299" s="26" t="s">
        <v>397</v>
      </c>
      <c r="C299" s="39">
        <f t="shared" si="47"/>
        <v>4656.79401</v>
      </c>
      <c r="D299" s="1">
        <f t="shared" si="45"/>
        <v>2014.4200799999999</v>
      </c>
      <c r="E299" s="1">
        <f t="shared" si="46"/>
        <v>2642.37393</v>
      </c>
      <c r="F299" s="22"/>
      <c r="G299" s="22"/>
      <c r="H299" s="22"/>
      <c r="I299" s="22"/>
      <c r="J299" s="22"/>
      <c r="K299" s="22"/>
      <c r="L299" s="22"/>
      <c r="M299" s="22">
        <v>1108.2177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22"/>
      <c r="AA299" s="22">
        <v>39.8115</v>
      </c>
      <c r="AB299" s="23">
        <v>167.07931</v>
      </c>
      <c r="AC299" s="4">
        <v>81.58196</v>
      </c>
      <c r="AD299" s="22"/>
      <c r="AE299" s="22"/>
      <c r="AF299" s="22"/>
      <c r="AG299" s="22"/>
      <c r="AH299" s="20">
        <f>24.0885+28.106</f>
        <v>52.194500000000005</v>
      </c>
      <c r="AI299" s="4">
        <v>28.106</v>
      </c>
      <c r="AJ299" s="22">
        <v>24.0885</v>
      </c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>
        <v>777.69339</v>
      </c>
      <c r="AZ299" s="4">
        <v>596.17088</v>
      </c>
      <c r="BA299" s="4"/>
      <c r="BB299" s="4"/>
      <c r="BC299" s="22"/>
      <c r="BD299" s="22"/>
      <c r="BE299" s="22">
        <v>120</v>
      </c>
      <c r="BF299" s="22">
        <v>907.64738</v>
      </c>
      <c r="BG299" s="22">
        <v>393.42546</v>
      </c>
      <c r="BH299" s="22">
        <v>162</v>
      </c>
      <c r="BI299" s="22">
        <v>250.97193</v>
      </c>
      <c r="BJ299" s="22"/>
      <c r="BK299" s="22"/>
      <c r="BL299" s="22"/>
      <c r="BM299" s="22"/>
      <c r="BN299" s="22"/>
      <c r="BO299" s="4"/>
      <c r="BP299" s="4"/>
      <c r="BQ299" s="4"/>
      <c r="BR299" s="4"/>
      <c r="BS299" s="4"/>
      <c r="BT299" s="22"/>
      <c r="BU299" s="24"/>
    </row>
    <row r="300" spans="1:73" ht="73.5" customHeight="1" outlineLevel="2">
      <c r="A300" s="46" t="s">
        <v>460</v>
      </c>
      <c r="B300" s="45" t="s">
        <v>751</v>
      </c>
      <c r="C300" s="39">
        <f t="shared" si="47"/>
        <v>39.71917</v>
      </c>
      <c r="D300" s="1">
        <f t="shared" si="45"/>
        <v>24.847209999999997</v>
      </c>
      <c r="E300" s="1">
        <f t="shared" si="46"/>
        <v>14.871960000000001</v>
      </c>
      <c r="F300" s="22"/>
      <c r="G300" s="22"/>
      <c r="H300" s="22"/>
      <c r="I300" s="22"/>
      <c r="J300" s="22"/>
      <c r="K300" s="22"/>
      <c r="L300" s="22"/>
      <c r="M300" s="2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22"/>
      <c r="AA300" s="22"/>
      <c r="AB300" s="4"/>
      <c r="AC300" s="4"/>
      <c r="AD300" s="22"/>
      <c r="AE300" s="22"/>
      <c r="AF300" s="22"/>
      <c r="AG300" s="22"/>
      <c r="AH300" s="20"/>
      <c r="AI300" s="4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4"/>
      <c r="BA300" s="4"/>
      <c r="BB300" s="4"/>
      <c r="BC300" s="22"/>
      <c r="BD300" s="22"/>
      <c r="BE300" s="22"/>
      <c r="BF300" s="22">
        <f>70.37431-45.5271</f>
        <v>24.847209999999997</v>
      </c>
      <c r="BG300" s="22">
        <f>14.87196+35.65615-35.65615</f>
        <v>14.871960000000001</v>
      </c>
      <c r="BH300" s="22"/>
      <c r="BI300" s="22"/>
      <c r="BJ300" s="22"/>
      <c r="BK300" s="22"/>
      <c r="BL300" s="22"/>
      <c r="BM300" s="22"/>
      <c r="BN300" s="22"/>
      <c r="BO300" s="4"/>
      <c r="BP300" s="4"/>
      <c r="BQ300" s="4"/>
      <c r="BR300" s="4"/>
      <c r="BS300" s="4"/>
      <c r="BT300" s="22"/>
      <c r="BU300" s="24"/>
    </row>
    <row r="301" spans="1:73" ht="73.5" customHeight="1" outlineLevel="2">
      <c r="A301" s="46" t="s">
        <v>460</v>
      </c>
      <c r="B301" s="45" t="s">
        <v>859</v>
      </c>
      <c r="C301" s="39">
        <f t="shared" si="47"/>
        <v>165.77866</v>
      </c>
      <c r="D301" s="1">
        <f t="shared" si="45"/>
        <v>0</v>
      </c>
      <c r="E301" s="1">
        <f t="shared" si="46"/>
        <v>165.77866</v>
      </c>
      <c r="F301" s="22"/>
      <c r="G301" s="22"/>
      <c r="H301" s="22"/>
      <c r="I301" s="22"/>
      <c r="J301" s="22"/>
      <c r="K301" s="22"/>
      <c r="L301" s="22"/>
      <c r="M301" s="2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22"/>
      <c r="AA301" s="22"/>
      <c r="AB301" s="4"/>
      <c r="AC301" s="4"/>
      <c r="AD301" s="22"/>
      <c r="AE301" s="22"/>
      <c r="AF301" s="22"/>
      <c r="AG301" s="22"/>
      <c r="AH301" s="20"/>
      <c r="AI301" s="4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4"/>
      <c r="BA301" s="4"/>
      <c r="BB301" s="4"/>
      <c r="BC301" s="22"/>
      <c r="BD301" s="22"/>
      <c r="BE301" s="22">
        <v>165.77866</v>
      </c>
      <c r="BF301" s="22"/>
      <c r="BG301" s="22"/>
      <c r="BH301" s="22"/>
      <c r="BI301" s="22"/>
      <c r="BJ301" s="22"/>
      <c r="BK301" s="22"/>
      <c r="BL301" s="22"/>
      <c r="BM301" s="22"/>
      <c r="BN301" s="22"/>
      <c r="BO301" s="4"/>
      <c r="BP301" s="4"/>
      <c r="BQ301" s="4"/>
      <c r="BR301" s="4"/>
      <c r="BS301" s="4"/>
      <c r="BT301" s="22"/>
      <c r="BU301" s="24"/>
    </row>
    <row r="302" spans="1:73" ht="73.5" customHeight="1" outlineLevel="2">
      <c r="A302" s="46" t="s">
        <v>460</v>
      </c>
      <c r="B302" s="45" t="s">
        <v>685</v>
      </c>
      <c r="C302" s="39">
        <f t="shared" si="47"/>
        <v>321.41922</v>
      </c>
      <c r="D302" s="1">
        <f t="shared" si="45"/>
        <v>92.61073999999999</v>
      </c>
      <c r="E302" s="1">
        <f t="shared" si="46"/>
        <v>228.80848</v>
      </c>
      <c r="F302" s="22"/>
      <c r="G302" s="22"/>
      <c r="H302" s="22"/>
      <c r="I302" s="22"/>
      <c r="J302" s="22"/>
      <c r="K302" s="22"/>
      <c r="L302" s="22"/>
      <c r="M302" s="2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22"/>
      <c r="AA302" s="22"/>
      <c r="AB302" s="4">
        <v>26.5963</v>
      </c>
      <c r="AC302" s="4">
        <v>13.98548</v>
      </c>
      <c r="AD302" s="22"/>
      <c r="AE302" s="22"/>
      <c r="AF302" s="22"/>
      <c r="AG302" s="22"/>
      <c r="AH302" s="20"/>
      <c r="AI302" s="4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4"/>
      <c r="BA302" s="4"/>
      <c r="BB302" s="4"/>
      <c r="BC302" s="22"/>
      <c r="BD302" s="22"/>
      <c r="BE302" s="22"/>
      <c r="BF302" s="22">
        <v>66.01444</v>
      </c>
      <c r="BG302" s="22">
        <v>41.37727</v>
      </c>
      <c r="BH302" s="22"/>
      <c r="BI302" s="22"/>
      <c r="BJ302" s="22">
        <v>173.44573</v>
      </c>
      <c r="BK302" s="22"/>
      <c r="BL302" s="22"/>
      <c r="BM302" s="22"/>
      <c r="BN302" s="22"/>
      <c r="BO302" s="4"/>
      <c r="BP302" s="4"/>
      <c r="BQ302" s="4"/>
      <c r="BR302" s="4"/>
      <c r="BS302" s="4"/>
      <c r="BT302" s="22"/>
      <c r="BU302" s="24"/>
    </row>
    <row r="303" spans="1:73" ht="73.5" customHeight="1" outlineLevel="2">
      <c r="A303" s="46" t="s">
        <v>460</v>
      </c>
      <c r="B303" s="45" t="s">
        <v>686</v>
      </c>
      <c r="C303" s="39">
        <f t="shared" si="47"/>
        <v>349.02103999999997</v>
      </c>
      <c r="D303" s="1">
        <f t="shared" si="45"/>
        <v>203.57468</v>
      </c>
      <c r="E303" s="1">
        <f t="shared" si="46"/>
        <v>145.44636</v>
      </c>
      <c r="F303" s="22"/>
      <c r="G303" s="22"/>
      <c r="H303" s="22"/>
      <c r="I303" s="22"/>
      <c r="J303" s="22"/>
      <c r="K303" s="22"/>
      <c r="L303" s="22"/>
      <c r="M303" s="2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22"/>
      <c r="AA303" s="22"/>
      <c r="AB303" s="4">
        <v>31.88146</v>
      </c>
      <c r="AC303" s="4">
        <v>16.31639</v>
      </c>
      <c r="AD303" s="22"/>
      <c r="AE303" s="22"/>
      <c r="AF303" s="22"/>
      <c r="AG303" s="22"/>
      <c r="AH303" s="20"/>
      <c r="AI303" s="4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>
        <v>132.41235</v>
      </c>
      <c r="AZ303" s="4">
        <v>104.5328</v>
      </c>
      <c r="BA303" s="4"/>
      <c r="BB303" s="4"/>
      <c r="BC303" s="22"/>
      <c r="BD303" s="22"/>
      <c r="BE303" s="22"/>
      <c r="BF303" s="22">
        <v>39.28087</v>
      </c>
      <c r="BG303" s="22">
        <v>24.59717</v>
      </c>
      <c r="BH303" s="22"/>
      <c r="BI303" s="22"/>
      <c r="BJ303" s="22"/>
      <c r="BK303" s="22"/>
      <c r="BL303" s="22"/>
      <c r="BM303" s="22"/>
      <c r="BN303" s="22"/>
      <c r="BO303" s="4"/>
      <c r="BP303" s="4"/>
      <c r="BQ303" s="4"/>
      <c r="BR303" s="4"/>
      <c r="BS303" s="4"/>
      <c r="BT303" s="22"/>
      <c r="BU303" s="24"/>
    </row>
    <row r="304" spans="1:73" ht="73.5" customHeight="1" outlineLevel="2">
      <c r="A304" s="46" t="s">
        <v>460</v>
      </c>
      <c r="B304" s="45" t="s">
        <v>687</v>
      </c>
      <c r="C304" s="39">
        <f t="shared" si="47"/>
        <v>6067.39372</v>
      </c>
      <c r="D304" s="1">
        <f t="shared" si="45"/>
        <v>869.35338</v>
      </c>
      <c r="E304" s="1">
        <f t="shared" si="46"/>
        <v>5198.04034</v>
      </c>
      <c r="F304" s="22"/>
      <c r="G304" s="22"/>
      <c r="H304" s="22"/>
      <c r="I304" s="22"/>
      <c r="J304" s="22"/>
      <c r="K304" s="22"/>
      <c r="L304" s="22"/>
      <c r="M304" s="22"/>
      <c r="N304" s="4">
        <f>2.65953+25.40925</f>
        <v>28.06878</v>
      </c>
      <c r="O304" s="4">
        <f>0.13669+16.85057</f>
        <v>16.987260000000003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22"/>
      <c r="AA304" s="22"/>
      <c r="AB304" s="23">
        <v>314.18704</v>
      </c>
      <c r="AC304" s="4">
        <v>139.85479</v>
      </c>
      <c r="AD304" s="22"/>
      <c r="AE304" s="22"/>
      <c r="AF304" s="22"/>
      <c r="AG304" s="22"/>
      <c r="AH304" s="20">
        <v>90.133</v>
      </c>
      <c r="AI304" s="4"/>
      <c r="AJ304" s="20">
        <v>90.133</v>
      </c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>
        <v>284.28</v>
      </c>
      <c r="AX304" s="22"/>
      <c r="AY304" s="22"/>
      <c r="AZ304" s="4"/>
      <c r="BA304" s="4"/>
      <c r="BB304" s="4"/>
      <c r="BC304" s="22"/>
      <c r="BD304" s="22">
        <f>3360.35338+190.1245</f>
        <v>3550.47788</v>
      </c>
      <c r="BE304" s="22"/>
      <c r="BF304" s="22">
        <v>527.09756</v>
      </c>
      <c r="BG304" s="22">
        <v>329.59513</v>
      </c>
      <c r="BH304" s="22"/>
      <c r="BI304" s="22"/>
      <c r="BJ304" s="22">
        <v>786.71228</v>
      </c>
      <c r="BK304" s="22"/>
      <c r="BL304" s="22"/>
      <c r="BM304" s="22"/>
      <c r="BN304" s="22"/>
      <c r="BO304" s="4"/>
      <c r="BP304" s="4"/>
      <c r="BQ304" s="4"/>
      <c r="BR304" s="4"/>
      <c r="BS304" s="4"/>
      <c r="BT304" s="22"/>
      <c r="BU304" s="24"/>
    </row>
    <row r="305" spans="1:73" ht="73.5" customHeight="1" outlineLevel="2">
      <c r="A305" s="46" t="s">
        <v>460</v>
      </c>
      <c r="B305" s="26" t="s">
        <v>701</v>
      </c>
      <c r="C305" s="58">
        <f t="shared" si="47"/>
        <v>675.04547</v>
      </c>
      <c r="D305" s="1">
        <f t="shared" si="45"/>
        <v>0</v>
      </c>
      <c r="E305" s="1">
        <f t="shared" si="46"/>
        <v>675.04547</v>
      </c>
      <c r="F305" s="22"/>
      <c r="G305" s="22"/>
      <c r="H305" s="22"/>
      <c r="I305" s="22"/>
      <c r="J305" s="22"/>
      <c r="K305" s="22"/>
      <c r="L305" s="22">
        <v>35.38753</v>
      </c>
      <c r="M305" s="2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22"/>
      <c r="AA305" s="22"/>
      <c r="AB305" s="4"/>
      <c r="AC305" s="4"/>
      <c r="AD305" s="22"/>
      <c r="AE305" s="22"/>
      <c r="AF305" s="22"/>
      <c r="AG305" s="22"/>
      <c r="AH305" s="20"/>
      <c r="AI305" s="4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4"/>
      <c r="BA305" s="4"/>
      <c r="BB305" s="4"/>
      <c r="BC305" s="22"/>
      <c r="BD305" s="22"/>
      <c r="BE305" s="22"/>
      <c r="BF305" s="22"/>
      <c r="BG305" s="22"/>
      <c r="BH305" s="22"/>
      <c r="BI305" s="22"/>
      <c r="BJ305" s="22">
        <v>639.65794</v>
      </c>
      <c r="BK305" s="22"/>
      <c r="BL305" s="22"/>
      <c r="BM305" s="22"/>
      <c r="BN305" s="22"/>
      <c r="BO305" s="4"/>
      <c r="BP305" s="4"/>
      <c r="BQ305" s="4"/>
      <c r="BR305" s="4"/>
      <c r="BS305" s="4"/>
      <c r="BT305" s="22"/>
      <c r="BU305" s="24"/>
    </row>
    <row r="306" spans="1:73" ht="73.5" customHeight="1" outlineLevel="2">
      <c r="A306" s="46" t="s">
        <v>460</v>
      </c>
      <c r="B306" s="26" t="s">
        <v>688</v>
      </c>
      <c r="C306" s="39">
        <f t="shared" si="47"/>
        <v>44.69022</v>
      </c>
      <c r="D306" s="1">
        <f t="shared" si="45"/>
        <v>27.49697</v>
      </c>
      <c r="E306" s="1">
        <f t="shared" si="46"/>
        <v>17.19325</v>
      </c>
      <c r="F306" s="22"/>
      <c r="G306" s="22"/>
      <c r="H306" s="22"/>
      <c r="I306" s="22"/>
      <c r="J306" s="22"/>
      <c r="K306" s="22"/>
      <c r="L306" s="22"/>
      <c r="M306" s="2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22"/>
      <c r="AA306" s="22"/>
      <c r="AB306" s="4">
        <v>5.58961</v>
      </c>
      <c r="AC306" s="4">
        <v>3.49637</v>
      </c>
      <c r="AD306" s="22"/>
      <c r="AE306" s="22"/>
      <c r="AF306" s="22"/>
      <c r="AG306" s="22"/>
      <c r="AH306" s="20"/>
      <c r="AI306" s="4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4"/>
      <c r="BA306" s="4"/>
      <c r="BB306" s="4"/>
      <c r="BC306" s="22"/>
      <c r="BD306" s="22"/>
      <c r="BE306" s="22"/>
      <c r="BF306" s="22">
        <v>21.90736</v>
      </c>
      <c r="BG306" s="22">
        <v>13.69688</v>
      </c>
      <c r="BH306" s="22"/>
      <c r="BI306" s="22"/>
      <c r="BJ306" s="22"/>
      <c r="BK306" s="22"/>
      <c r="BL306" s="22"/>
      <c r="BM306" s="22"/>
      <c r="BN306" s="22"/>
      <c r="BO306" s="4"/>
      <c r="BP306" s="4"/>
      <c r="BQ306" s="4"/>
      <c r="BR306" s="4"/>
      <c r="BS306" s="4"/>
      <c r="BT306" s="22"/>
      <c r="BU306" s="24"/>
    </row>
    <row r="307" spans="1:73" ht="73.5" customHeight="1" outlineLevel="2">
      <c r="A307" s="46" t="s">
        <v>460</v>
      </c>
      <c r="B307" s="26" t="s">
        <v>841</v>
      </c>
      <c r="C307" s="39">
        <f>D307+E307</f>
        <v>3000</v>
      </c>
      <c r="D307" s="1">
        <f t="shared" si="45"/>
        <v>0</v>
      </c>
      <c r="E307" s="1">
        <f t="shared" si="46"/>
        <v>3000</v>
      </c>
      <c r="F307" s="22"/>
      <c r="G307" s="22"/>
      <c r="H307" s="22"/>
      <c r="I307" s="22"/>
      <c r="J307" s="22"/>
      <c r="K307" s="22"/>
      <c r="L307" s="22"/>
      <c r="M307" s="2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22"/>
      <c r="AA307" s="22"/>
      <c r="AB307" s="4"/>
      <c r="AC307" s="4"/>
      <c r="AD307" s="22"/>
      <c r="AE307" s="22"/>
      <c r="AF307" s="22"/>
      <c r="AG307" s="22"/>
      <c r="AH307" s="20"/>
      <c r="AI307" s="4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4"/>
      <c r="BA307" s="4"/>
      <c r="BB307" s="4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4"/>
      <c r="BP307" s="4">
        <v>3000</v>
      </c>
      <c r="BQ307" s="4"/>
      <c r="BR307" s="4"/>
      <c r="BS307" s="4"/>
      <c r="BT307" s="22"/>
      <c r="BU307" s="24"/>
    </row>
    <row r="308" spans="1:73" ht="73.5" customHeight="1" outlineLevel="2">
      <c r="A308" s="46" t="s">
        <v>460</v>
      </c>
      <c r="B308" s="26" t="s">
        <v>689</v>
      </c>
      <c r="C308" s="39">
        <f t="shared" si="47"/>
        <v>268.08123</v>
      </c>
      <c r="D308" s="1">
        <f t="shared" si="45"/>
        <v>184.55098</v>
      </c>
      <c r="E308" s="1">
        <f t="shared" si="46"/>
        <v>83.53025</v>
      </c>
      <c r="F308" s="22"/>
      <c r="G308" s="22"/>
      <c r="H308" s="22"/>
      <c r="I308" s="22"/>
      <c r="J308" s="22"/>
      <c r="K308" s="22"/>
      <c r="L308" s="22"/>
      <c r="M308" s="22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22"/>
      <c r="AA308" s="22"/>
      <c r="AB308" s="4">
        <v>9.6643</v>
      </c>
      <c r="AC308" s="4">
        <v>4.66183</v>
      </c>
      <c r="AD308" s="22"/>
      <c r="AE308" s="22"/>
      <c r="AF308" s="22"/>
      <c r="AG308" s="22"/>
      <c r="AH308" s="20"/>
      <c r="AI308" s="4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4"/>
      <c r="BA308" s="4"/>
      <c r="BB308" s="4"/>
      <c r="BC308" s="22"/>
      <c r="BD308" s="22"/>
      <c r="BE308" s="22"/>
      <c r="BF308" s="22">
        <v>120.88668</v>
      </c>
      <c r="BG308" s="22">
        <v>17.4878</v>
      </c>
      <c r="BH308" s="22">
        <v>54</v>
      </c>
      <c r="BI308" s="22">
        <v>61.38062</v>
      </c>
      <c r="BJ308" s="22"/>
      <c r="BK308" s="22"/>
      <c r="BL308" s="22"/>
      <c r="BM308" s="22"/>
      <c r="BN308" s="22"/>
      <c r="BO308" s="4"/>
      <c r="BP308" s="4"/>
      <c r="BQ308" s="4"/>
      <c r="BR308" s="4"/>
      <c r="BS308" s="4"/>
      <c r="BT308" s="22"/>
      <c r="BU308" s="24"/>
    </row>
    <row r="309" spans="1:73" ht="73.5" customHeight="1" outlineLevel="2">
      <c r="A309" s="46" t="s">
        <v>460</v>
      </c>
      <c r="B309" s="26" t="s">
        <v>690</v>
      </c>
      <c r="C309" s="39">
        <f t="shared" si="47"/>
        <v>141.10053000000002</v>
      </c>
      <c r="D309" s="1">
        <f t="shared" si="45"/>
        <v>10.2101</v>
      </c>
      <c r="E309" s="1">
        <f t="shared" si="46"/>
        <v>130.89043</v>
      </c>
      <c r="F309" s="22"/>
      <c r="G309" s="22"/>
      <c r="H309" s="22"/>
      <c r="I309" s="22"/>
      <c r="J309" s="22"/>
      <c r="K309" s="22"/>
      <c r="L309" s="22"/>
      <c r="M309" s="2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22"/>
      <c r="AA309" s="22"/>
      <c r="AB309" s="4"/>
      <c r="AC309" s="4"/>
      <c r="AD309" s="22"/>
      <c r="AE309" s="22"/>
      <c r="AF309" s="22"/>
      <c r="AG309" s="22"/>
      <c r="AH309" s="20"/>
      <c r="AI309" s="4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4"/>
      <c r="BA309" s="4"/>
      <c r="BB309" s="4"/>
      <c r="BC309" s="22"/>
      <c r="BD309" s="22"/>
      <c r="BE309" s="22">
        <v>124.5</v>
      </c>
      <c r="BF309" s="22">
        <v>10.2101</v>
      </c>
      <c r="BG309" s="22">
        <v>6.39043</v>
      </c>
      <c r="BH309" s="22"/>
      <c r="BI309" s="22"/>
      <c r="BJ309" s="22"/>
      <c r="BK309" s="22"/>
      <c r="BL309" s="22"/>
      <c r="BM309" s="22"/>
      <c r="BN309" s="22"/>
      <c r="BO309" s="4"/>
      <c r="BP309" s="4"/>
      <c r="BQ309" s="4"/>
      <c r="BR309" s="4"/>
      <c r="BS309" s="4"/>
      <c r="BT309" s="22"/>
      <c r="BU309" s="24"/>
    </row>
    <row r="310" spans="1:73" ht="73.5" customHeight="1" outlineLevel="2">
      <c r="A310" s="46" t="s">
        <v>460</v>
      </c>
      <c r="B310" s="26" t="s">
        <v>59</v>
      </c>
      <c r="C310" s="39">
        <f t="shared" si="47"/>
        <v>266.8302</v>
      </c>
      <c r="D310" s="1">
        <f t="shared" si="45"/>
        <v>87.34961</v>
      </c>
      <c r="E310" s="1">
        <f t="shared" si="46"/>
        <v>179.48059</v>
      </c>
      <c r="F310" s="22"/>
      <c r="G310" s="22"/>
      <c r="H310" s="22"/>
      <c r="I310" s="22"/>
      <c r="J310" s="22"/>
      <c r="K310" s="22"/>
      <c r="L310" s="22"/>
      <c r="M310" s="2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22"/>
      <c r="AA310" s="22"/>
      <c r="AB310" s="23"/>
      <c r="AC310" s="4"/>
      <c r="AD310" s="22"/>
      <c r="AE310" s="22"/>
      <c r="AF310" s="22"/>
      <c r="AG310" s="22"/>
      <c r="AH310" s="20"/>
      <c r="AI310" s="4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>
        <v>124.8</v>
      </c>
      <c r="AY310" s="22"/>
      <c r="AZ310" s="4"/>
      <c r="BA310" s="4"/>
      <c r="BB310" s="4"/>
      <c r="BC310" s="22"/>
      <c r="BD310" s="22"/>
      <c r="BE310" s="22"/>
      <c r="BF310" s="22">
        <v>87.34961</v>
      </c>
      <c r="BG310" s="22">
        <v>54.68059</v>
      </c>
      <c r="BH310" s="22"/>
      <c r="BI310" s="22"/>
      <c r="BJ310" s="22"/>
      <c r="BK310" s="22"/>
      <c r="BL310" s="22"/>
      <c r="BM310" s="22"/>
      <c r="BN310" s="22"/>
      <c r="BO310" s="4"/>
      <c r="BP310" s="4"/>
      <c r="BQ310" s="4"/>
      <c r="BR310" s="4"/>
      <c r="BS310" s="4"/>
      <c r="BT310" s="22"/>
      <c r="BU310" s="24"/>
    </row>
    <row r="311" spans="1:73" ht="73.5" customHeight="1" outlineLevel="2">
      <c r="A311" s="46" t="s">
        <v>460</v>
      </c>
      <c r="B311" s="26" t="s">
        <v>691</v>
      </c>
      <c r="C311" s="39">
        <f t="shared" si="47"/>
        <v>139.31373</v>
      </c>
      <c r="D311" s="1">
        <f t="shared" si="45"/>
        <v>85.72608</v>
      </c>
      <c r="E311" s="1">
        <f t="shared" si="46"/>
        <v>53.58765</v>
      </c>
      <c r="F311" s="22"/>
      <c r="G311" s="22"/>
      <c r="H311" s="22"/>
      <c r="I311" s="22"/>
      <c r="J311" s="22"/>
      <c r="K311" s="22"/>
      <c r="L311" s="22"/>
      <c r="M311" s="2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22"/>
      <c r="AA311" s="22"/>
      <c r="AB311" s="23"/>
      <c r="AC311" s="4"/>
      <c r="AD311" s="22"/>
      <c r="AE311" s="22"/>
      <c r="AF311" s="22"/>
      <c r="AG311" s="22"/>
      <c r="AH311" s="20"/>
      <c r="AI311" s="4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4"/>
      <c r="BA311" s="4"/>
      <c r="BB311" s="4"/>
      <c r="BC311" s="22"/>
      <c r="BD311" s="22"/>
      <c r="BE311" s="22"/>
      <c r="BF311" s="22">
        <v>85.72608</v>
      </c>
      <c r="BG311" s="22">
        <v>53.58765</v>
      </c>
      <c r="BH311" s="22"/>
      <c r="BI311" s="22"/>
      <c r="BJ311" s="22"/>
      <c r="BK311" s="22"/>
      <c r="BL311" s="22"/>
      <c r="BM311" s="22"/>
      <c r="BN311" s="22"/>
      <c r="BO311" s="4"/>
      <c r="BP311" s="4"/>
      <c r="BQ311" s="4"/>
      <c r="BR311" s="4"/>
      <c r="BS311" s="4"/>
      <c r="BT311" s="22"/>
      <c r="BU311" s="24"/>
    </row>
    <row r="312" spans="1:73" ht="73.5" customHeight="1" outlineLevel="2">
      <c r="A312" s="46" t="s">
        <v>460</v>
      </c>
      <c r="B312" s="26" t="s">
        <v>692</v>
      </c>
      <c r="C312" s="39">
        <f t="shared" si="47"/>
        <v>284.52058</v>
      </c>
      <c r="D312" s="1">
        <f t="shared" si="45"/>
        <v>189.12094</v>
      </c>
      <c r="E312" s="1">
        <f t="shared" si="46"/>
        <v>95.39964</v>
      </c>
      <c r="F312" s="22"/>
      <c r="G312" s="22"/>
      <c r="H312" s="22"/>
      <c r="I312" s="22"/>
      <c r="J312" s="22"/>
      <c r="K312" s="22"/>
      <c r="L312" s="22"/>
      <c r="M312" s="2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22"/>
      <c r="AA312" s="22"/>
      <c r="AB312" s="23">
        <v>87.06634</v>
      </c>
      <c r="AC312" s="4">
        <v>31.46733</v>
      </c>
      <c r="AD312" s="22"/>
      <c r="AE312" s="22"/>
      <c r="AF312" s="22"/>
      <c r="AG312" s="22"/>
      <c r="AH312" s="20"/>
      <c r="AI312" s="4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4"/>
      <c r="BA312" s="4"/>
      <c r="BB312" s="4"/>
      <c r="BC312" s="22"/>
      <c r="BD312" s="22"/>
      <c r="BE312" s="22"/>
      <c r="BF312" s="22">
        <v>102.0546</v>
      </c>
      <c r="BG312" s="22">
        <v>63.93231</v>
      </c>
      <c r="BH312" s="22"/>
      <c r="BI312" s="22"/>
      <c r="BJ312" s="22"/>
      <c r="BK312" s="22"/>
      <c r="BL312" s="22"/>
      <c r="BM312" s="22"/>
      <c r="BN312" s="22"/>
      <c r="BO312" s="4"/>
      <c r="BP312" s="4"/>
      <c r="BQ312" s="4"/>
      <c r="BR312" s="4"/>
      <c r="BS312" s="4"/>
      <c r="BT312" s="22"/>
      <c r="BU312" s="24"/>
    </row>
    <row r="313" spans="1:73" ht="73.5" customHeight="1" outlineLevel="2">
      <c r="A313" s="46" t="s">
        <v>460</v>
      </c>
      <c r="B313" s="26" t="s">
        <v>842</v>
      </c>
      <c r="C313" s="39">
        <f>D313+E313</f>
        <v>3000</v>
      </c>
      <c r="D313" s="1">
        <f t="shared" si="45"/>
        <v>0</v>
      </c>
      <c r="E313" s="1">
        <f t="shared" si="46"/>
        <v>3000</v>
      </c>
      <c r="F313" s="22"/>
      <c r="G313" s="22"/>
      <c r="H313" s="22"/>
      <c r="I313" s="22"/>
      <c r="J313" s="22"/>
      <c r="K313" s="22"/>
      <c r="L313" s="22"/>
      <c r="M313" s="22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22"/>
      <c r="AA313" s="22"/>
      <c r="AB313" s="23"/>
      <c r="AC313" s="4"/>
      <c r="AD313" s="22"/>
      <c r="AE313" s="22"/>
      <c r="AF313" s="22"/>
      <c r="AG313" s="22"/>
      <c r="AH313" s="20"/>
      <c r="AI313" s="4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4"/>
      <c r="BA313" s="4"/>
      <c r="BB313" s="4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4"/>
      <c r="BP313" s="4">
        <v>3000</v>
      </c>
      <c r="BQ313" s="4"/>
      <c r="BR313" s="4"/>
      <c r="BS313" s="4"/>
      <c r="BT313" s="22"/>
      <c r="BU313" s="24"/>
    </row>
    <row r="314" spans="1:73" ht="73.5" customHeight="1" outlineLevel="2">
      <c r="A314" s="46" t="s">
        <v>460</v>
      </c>
      <c r="B314" s="26" t="s">
        <v>693</v>
      </c>
      <c r="C314" s="39">
        <f t="shared" si="47"/>
        <v>9497.8743</v>
      </c>
      <c r="D314" s="1">
        <f t="shared" si="45"/>
        <v>84.09237</v>
      </c>
      <c r="E314" s="1">
        <f t="shared" si="46"/>
        <v>9413.78193</v>
      </c>
      <c r="F314" s="22"/>
      <c r="G314" s="22"/>
      <c r="H314" s="22"/>
      <c r="I314" s="22"/>
      <c r="J314" s="22"/>
      <c r="K314" s="22"/>
      <c r="L314" s="22"/>
      <c r="M314" s="2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22"/>
      <c r="AA314" s="22"/>
      <c r="AB314" s="23">
        <v>16.75664</v>
      </c>
      <c r="AC314" s="4">
        <v>9.32365</v>
      </c>
      <c r="AD314" s="22"/>
      <c r="AE314" s="22"/>
      <c r="AF314" s="22"/>
      <c r="AG314" s="22"/>
      <c r="AH314" s="20"/>
      <c r="AI314" s="4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4"/>
      <c r="BA314" s="4"/>
      <c r="BB314" s="4"/>
      <c r="BC314" s="22"/>
      <c r="BD314" s="22"/>
      <c r="BE314" s="22">
        <v>35.35826</v>
      </c>
      <c r="BF314" s="22">
        <v>67.33573</v>
      </c>
      <c r="BG314" s="22">
        <v>42.10002</v>
      </c>
      <c r="BH314" s="22"/>
      <c r="BI314" s="22"/>
      <c r="BJ314" s="22"/>
      <c r="BK314" s="22"/>
      <c r="BL314" s="22"/>
      <c r="BM314" s="22"/>
      <c r="BN314" s="22"/>
      <c r="BO314" s="4"/>
      <c r="BP314" s="4"/>
      <c r="BQ314" s="4"/>
      <c r="BR314" s="4"/>
      <c r="BS314" s="4"/>
      <c r="BT314" s="22">
        <v>9327</v>
      </c>
      <c r="BU314" s="24"/>
    </row>
    <row r="315" spans="1:73" ht="73.5" customHeight="1" outlineLevel="2">
      <c r="A315" s="46" t="s">
        <v>460</v>
      </c>
      <c r="B315" s="26" t="s">
        <v>252</v>
      </c>
      <c r="C315" s="39">
        <f t="shared" si="47"/>
        <v>330.03821</v>
      </c>
      <c r="D315" s="1">
        <f t="shared" si="45"/>
        <v>201.50105</v>
      </c>
      <c r="E315" s="1">
        <f t="shared" si="46"/>
        <v>128.53716</v>
      </c>
      <c r="F315" s="22"/>
      <c r="G315" s="22"/>
      <c r="H315" s="22"/>
      <c r="I315" s="22"/>
      <c r="J315" s="22"/>
      <c r="K315" s="22"/>
      <c r="L315" s="22"/>
      <c r="M315" s="2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22"/>
      <c r="AA315" s="22"/>
      <c r="AB315" s="23">
        <v>14.00446</v>
      </c>
      <c r="AC315" s="4">
        <v>11.65457</v>
      </c>
      <c r="AD315" s="22"/>
      <c r="AE315" s="22"/>
      <c r="AF315" s="22"/>
      <c r="AG315" s="22"/>
      <c r="AH315" s="20"/>
      <c r="AI315" s="4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4"/>
      <c r="BA315" s="4"/>
      <c r="BB315" s="4"/>
      <c r="BC315" s="22"/>
      <c r="BD315" s="22"/>
      <c r="BE315" s="22"/>
      <c r="BF315" s="22">
        <v>187.49659</v>
      </c>
      <c r="BG315" s="22">
        <v>30.22986</v>
      </c>
      <c r="BH315" s="22"/>
      <c r="BI315" s="22">
        <v>86.65273</v>
      </c>
      <c r="BJ315" s="22"/>
      <c r="BK315" s="22"/>
      <c r="BL315" s="22"/>
      <c r="BM315" s="22"/>
      <c r="BN315" s="22"/>
      <c r="BO315" s="4"/>
      <c r="BP315" s="4"/>
      <c r="BQ315" s="4"/>
      <c r="BR315" s="4"/>
      <c r="BS315" s="4"/>
      <c r="BT315" s="22"/>
      <c r="BU315" s="24"/>
    </row>
    <row r="316" spans="1:73" ht="73.5" customHeight="1" outlineLevel="2">
      <c r="A316" s="46" t="s">
        <v>460</v>
      </c>
      <c r="B316" s="26" t="s">
        <v>761</v>
      </c>
      <c r="C316" s="39">
        <f t="shared" si="47"/>
        <v>8.99483</v>
      </c>
      <c r="D316" s="1">
        <f t="shared" si="45"/>
        <v>5.5712</v>
      </c>
      <c r="E316" s="1">
        <f t="shared" si="46"/>
        <v>3.42363</v>
      </c>
      <c r="F316" s="22"/>
      <c r="G316" s="22"/>
      <c r="H316" s="22"/>
      <c r="I316" s="22"/>
      <c r="J316" s="22"/>
      <c r="K316" s="22"/>
      <c r="L316" s="22"/>
      <c r="M316" s="22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22"/>
      <c r="AA316" s="22"/>
      <c r="AB316" s="23"/>
      <c r="AC316" s="4"/>
      <c r="AD316" s="22"/>
      <c r="AE316" s="22"/>
      <c r="AF316" s="22"/>
      <c r="AG316" s="22"/>
      <c r="AH316" s="20"/>
      <c r="AI316" s="4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4"/>
      <c r="BA316" s="4"/>
      <c r="BB316" s="4"/>
      <c r="BC316" s="22"/>
      <c r="BD316" s="22"/>
      <c r="BE316" s="22"/>
      <c r="BF316" s="22">
        <v>5.5712</v>
      </c>
      <c r="BG316" s="22">
        <v>0.58223</v>
      </c>
      <c r="BH316" s="22"/>
      <c r="BI316" s="22">
        <v>2.8414</v>
      </c>
      <c r="BJ316" s="22"/>
      <c r="BK316" s="22"/>
      <c r="BL316" s="22"/>
      <c r="BM316" s="22"/>
      <c r="BN316" s="22"/>
      <c r="BO316" s="4"/>
      <c r="BP316" s="4"/>
      <c r="BQ316" s="4"/>
      <c r="BR316" s="4"/>
      <c r="BS316" s="4"/>
      <c r="BT316" s="22"/>
      <c r="BU316" s="24"/>
    </row>
    <row r="317" spans="1:73" ht="73.5" customHeight="1" outlineLevel="2">
      <c r="A317" s="46" t="s">
        <v>460</v>
      </c>
      <c r="B317" s="26" t="s">
        <v>762</v>
      </c>
      <c r="C317" s="39">
        <f t="shared" si="47"/>
        <v>2103.77515</v>
      </c>
      <c r="D317" s="1">
        <f t="shared" si="45"/>
        <v>729.49726</v>
      </c>
      <c r="E317" s="1">
        <f t="shared" si="46"/>
        <v>1374.2778899999998</v>
      </c>
      <c r="F317" s="22"/>
      <c r="G317" s="22"/>
      <c r="H317" s="22"/>
      <c r="I317" s="22"/>
      <c r="J317" s="22"/>
      <c r="K317" s="22"/>
      <c r="L317" s="22"/>
      <c r="M317" s="2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22"/>
      <c r="AA317" s="22"/>
      <c r="AB317" s="23">
        <v>319.85702</v>
      </c>
      <c r="AC317" s="4">
        <v>125.86931</v>
      </c>
      <c r="AD317" s="22"/>
      <c r="AE317" s="22"/>
      <c r="AF317" s="22"/>
      <c r="AG317" s="22"/>
      <c r="AH317" s="20"/>
      <c r="AI317" s="4"/>
      <c r="AJ317" s="22"/>
      <c r="AK317" s="22"/>
      <c r="AL317" s="22">
        <v>107.272</v>
      </c>
      <c r="AM317" s="22"/>
      <c r="AN317" s="22"/>
      <c r="AO317" s="22"/>
      <c r="AP317" s="22"/>
      <c r="AQ317" s="22">
        <v>844.5</v>
      </c>
      <c r="AR317" s="22"/>
      <c r="AS317" s="22"/>
      <c r="AT317" s="22"/>
      <c r="AU317" s="22"/>
      <c r="AV317" s="22"/>
      <c r="AW317" s="22"/>
      <c r="AX317" s="22"/>
      <c r="AY317" s="22"/>
      <c r="AZ317" s="4"/>
      <c r="BA317" s="4"/>
      <c r="BB317" s="4"/>
      <c r="BC317" s="22"/>
      <c r="BD317" s="22"/>
      <c r="BE317" s="22">
        <v>39.21186</v>
      </c>
      <c r="BF317" s="22">
        <v>409.64024</v>
      </c>
      <c r="BG317" s="22">
        <v>257.42472</v>
      </c>
      <c r="BH317" s="22"/>
      <c r="BI317" s="22"/>
      <c r="BJ317" s="22"/>
      <c r="BK317" s="22"/>
      <c r="BL317" s="22"/>
      <c r="BM317" s="22"/>
      <c r="BN317" s="22"/>
      <c r="BO317" s="4"/>
      <c r="BP317" s="4"/>
      <c r="BQ317" s="4"/>
      <c r="BR317" s="4"/>
      <c r="BS317" s="4"/>
      <c r="BT317" s="22"/>
      <c r="BU317" s="24"/>
    </row>
    <row r="318" spans="1:73" ht="73.5" customHeight="1" outlineLevel="2">
      <c r="A318" s="46" t="s">
        <v>460</v>
      </c>
      <c r="B318" s="26" t="s">
        <v>763</v>
      </c>
      <c r="C318" s="39">
        <f t="shared" si="47"/>
        <v>121.85873</v>
      </c>
      <c r="D318" s="1">
        <f t="shared" si="45"/>
        <v>74.8239</v>
      </c>
      <c r="E318" s="1">
        <f t="shared" si="46"/>
        <v>47.03483</v>
      </c>
      <c r="F318" s="22"/>
      <c r="G318" s="22"/>
      <c r="H318" s="22"/>
      <c r="I318" s="22"/>
      <c r="J318" s="22"/>
      <c r="K318" s="22"/>
      <c r="L318" s="22"/>
      <c r="M318" s="2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22"/>
      <c r="AA318" s="22"/>
      <c r="AB318" s="23"/>
      <c r="AC318" s="4"/>
      <c r="AD318" s="22"/>
      <c r="AE318" s="22"/>
      <c r="AF318" s="22"/>
      <c r="AG318" s="22"/>
      <c r="AH318" s="20"/>
      <c r="AI318" s="4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4"/>
      <c r="BA318" s="4"/>
      <c r="BB318" s="4"/>
      <c r="BC318" s="22"/>
      <c r="BD318" s="22"/>
      <c r="BE318" s="22"/>
      <c r="BF318" s="22">
        <f>104.6943-5.6007-24.2697</f>
        <v>74.8239</v>
      </c>
      <c r="BG318" s="22">
        <f>65.79163-3.5169-15.2399</f>
        <v>47.03483</v>
      </c>
      <c r="BH318" s="22"/>
      <c r="BI318" s="22"/>
      <c r="BJ318" s="22"/>
      <c r="BK318" s="22"/>
      <c r="BL318" s="22"/>
      <c r="BM318" s="22"/>
      <c r="BN318" s="22"/>
      <c r="BO318" s="4"/>
      <c r="BP318" s="4"/>
      <c r="BQ318" s="4"/>
      <c r="BR318" s="4"/>
      <c r="BS318" s="4"/>
      <c r="BT318" s="22"/>
      <c r="BU318" s="24"/>
    </row>
    <row r="319" spans="1:73" ht="73.5" customHeight="1" outlineLevel="2">
      <c r="A319" s="46" t="s">
        <v>460</v>
      </c>
      <c r="B319" s="26" t="s">
        <v>764</v>
      </c>
      <c r="C319" s="39">
        <f t="shared" si="47"/>
        <v>192.05262</v>
      </c>
      <c r="D319" s="1">
        <f t="shared" si="45"/>
        <v>110.52382</v>
      </c>
      <c r="E319" s="1">
        <f t="shared" si="46"/>
        <v>81.5288</v>
      </c>
      <c r="F319" s="22"/>
      <c r="G319" s="22"/>
      <c r="H319" s="22"/>
      <c r="I319" s="22"/>
      <c r="J319" s="22"/>
      <c r="K319" s="22"/>
      <c r="L319" s="22"/>
      <c r="M319" s="2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22"/>
      <c r="AA319" s="22">
        <v>31.428</v>
      </c>
      <c r="AB319" s="23">
        <v>19.97158</v>
      </c>
      <c r="AC319" s="4">
        <v>11.65457</v>
      </c>
      <c r="AD319" s="22"/>
      <c r="AE319" s="22"/>
      <c r="AF319" s="22"/>
      <c r="AG319" s="22"/>
      <c r="AH319" s="20"/>
      <c r="AI319" s="4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4"/>
      <c r="BA319" s="4"/>
      <c r="BB319" s="4"/>
      <c r="BC319" s="22"/>
      <c r="BD319" s="22"/>
      <c r="BE319" s="22"/>
      <c r="BF319" s="22">
        <v>63.55224</v>
      </c>
      <c r="BG319" s="22">
        <v>10.7659</v>
      </c>
      <c r="BH319" s="22">
        <v>27</v>
      </c>
      <c r="BI319" s="22">
        <v>27.68033</v>
      </c>
      <c r="BJ319" s="22"/>
      <c r="BK319" s="22"/>
      <c r="BL319" s="22"/>
      <c r="BM319" s="22"/>
      <c r="BN319" s="22"/>
      <c r="BO319" s="4"/>
      <c r="BP319" s="4"/>
      <c r="BQ319" s="4"/>
      <c r="BR319" s="4"/>
      <c r="BS319" s="4"/>
      <c r="BT319" s="22"/>
      <c r="BU319" s="24"/>
    </row>
    <row r="320" spans="1:73" ht="73.5" customHeight="1" outlineLevel="2">
      <c r="A320" s="46" t="s">
        <v>460</v>
      </c>
      <c r="B320" s="26" t="s">
        <v>765</v>
      </c>
      <c r="C320" s="39">
        <f t="shared" si="47"/>
        <v>91.87056999999999</v>
      </c>
      <c r="D320" s="1">
        <f t="shared" si="45"/>
        <v>43.927319999999995</v>
      </c>
      <c r="E320" s="1">
        <f t="shared" si="46"/>
        <v>47.94325</v>
      </c>
      <c r="F320" s="22"/>
      <c r="G320" s="22"/>
      <c r="H320" s="22"/>
      <c r="I320" s="22"/>
      <c r="J320" s="22"/>
      <c r="K320" s="22"/>
      <c r="L320" s="22"/>
      <c r="M320" s="2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22"/>
      <c r="AA320" s="22"/>
      <c r="AB320" s="23">
        <v>8.76801</v>
      </c>
      <c r="AC320" s="4">
        <v>4.66183</v>
      </c>
      <c r="AD320" s="22"/>
      <c r="AE320" s="22"/>
      <c r="AF320" s="22"/>
      <c r="AG320" s="22"/>
      <c r="AH320" s="20"/>
      <c r="AI320" s="4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>
        <v>23.73811</v>
      </c>
      <c r="AZ320" s="4">
        <v>36.10415</v>
      </c>
      <c r="BA320" s="4"/>
      <c r="BB320" s="4"/>
      <c r="BC320" s="22"/>
      <c r="BD320" s="22"/>
      <c r="BE320" s="22"/>
      <c r="BF320" s="22">
        <v>11.4212</v>
      </c>
      <c r="BG320" s="22">
        <v>7.17727</v>
      </c>
      <c r="BH320" s="22"/>
      <c r="BI320" s="22"/>
      <c r="BJ320" s="22"/>
      <c r="BK320" s="22"/>
      <c r="BL320" s="22"/>
      <c r="BM320" s="22"/>
      <c r="BN320" s="22"/>
      <c r="BO320" s="4"/>
      <c r="BP320" s="4"/>
      <c r="BQ320" s="4"/>
      <c r="BR320" s="4"/>
      <c r="BS320" s="4"/>
      <c r="BT320" s="22"/>
      <c r="BU320" s="24"/>
    </row>
    <row r="321" spans="1:73" ht="73.5" customHeight="1" outlineLevel="2">
      <c r="A321" s="46" t="s">
        <v>460</v>
      </c>
      <c r="B321" s="26" t="s">
        <v>862</v>
      </c>
      <c r="C321" s="39">
        <f>D321+E321</f>
        <v>87.86088</v>
      </c>
      <c r="D321" s="1">
        <f t="shared" si="45"/>
        <v>0</v>
      </c>
      <c r="E321" s="1">
        <f t="shared" si="46"/>
        <v>87.86088</v>
      </c>
      <c r="F321" s="22"/>
      <c r="G321" s="22"/>
      <c r="H321" s="22"/>
      <c r="I321" s="22"/>
      <c r="J321" s="22"/>
      <c r="K321" s="22"/>
      <c r="L321" s="22"/>
      <c r="M321" s="2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22"/>
      <c r="AA321" s="22"/>
      <c r="AB321" s="23"/>
      <c r="AC321" s="4"/>
      <c r="AD321" s="22"/>
      <c r="AE321" s="22"/>
      <c r="AF321" s="22"/>
      <c r="AG321" s="22"/>
      <c r="AH321" s="20"/>
      <c r="AI321" s="4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4"/>
      <c r="BA321" s="4"/>
      <c r="BB321" s="4"/>
      <c r="BC321" s="22"/>
      <c r="BD321" s="22"/>
      <c r="BE321" s="22"/>
      <c r="BF321" s="22"/>
      <c r="BG321" s="22"/>
      <c r="BH321" s="22"/>
      <c r="BI321" s="22"/>
      <c r="BJ321" s="22">
        <v>87.86088</v>
      </c>
      <c r="BK321" s="22"/>
      <c r="BL321" s="22"/>
      <c r="BM321" s="22"/>
      <c r="BN321" s="22"/>
      <c r="BO321" s="4"/>
      <c r="BP321" s="4"/>
      <c r="BQ321" s="4"/>
      <c r="BR321" s="4"/>
      <c r="BS321" s="4"/>
      <c r="BT321" s="22"/>
      <c r="BU321" s="24"/>
    </row>
    <row r="322" spans="1:73" ht="73.5" customHeight="1" outlineLevel="2">
      <c r="A322" s="46" t="s">
        <v>460</v>
      </c>
      <c r="B322" s="26" t="s">
        <v>531</v>
      </c>
      <c r="C322" s="39">
        <f t="shared" si="47"/>
        <v>4362.14231</v>
      </c>
      <c r="D322" s="1">
        <f t="shared" si="45"/>
        <v>11.87351</v>
      </c>
      <c r="E322" s="1">
        <f t="shared" si="46"/>
        <v>4350.2688</v>
      </c>
      <c r="F322" s="22"/>
      <c r="G322" s="22"/>
      <c r="H322" s="22"/>
      <c r="I322" s="22"/>
      <c r="J322" s="22"/>
      <c r="K322" s="22"/>
      <c r="L322" s="22"/>
      <c r="M322" s="22">
        <v>4342.842</v>
      </c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22"/>
      <c r="AA322" s="22"/>
      <c r="AB322" s="4"/>
      <c r="AC322" s="4"/>
      <c r="AD322" s="22"/>
      <c r="AE322" s="22"/>
      <c r="AF322" s="22"/>
      <c r="AG322" s="22"/>
      <c r="AH322" s="20"/>
      <c r="AI322" s="4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4"/>
      <c r="BA322" s="4"/>
      <c r="BB322" s="4"/>
      <c r="BC322" s="22"/>
      <c r="BD322" s="22"/>
      <c r="BE322" s="22"/>
      <c r="BF322" s="22">
        <v>11.87351</v>
      </c>
      <c r="BG322" s="22">
        <v>7.4268</v>
      </c>
      <c r="BH322" s="22"/>
      <c r="BI322" s="22"/>
      <c r="BJ322" s="22"/>
      <c r="BK322" s="22"/>
      <c r="BL322" s="22"/>
      <c r="BM322" s="22"/>
      <c r="BN322" s="22"/>
      <c r="BO322" s="4"/>
      <c r="BP322" s="4"/>
      <c r="BQ322" s="4"/>
      <c r="BR322" s="4"/>
      <c r="BS322" s="4"/>
      <c r="BT322" s="22"/>
      <c r="BU322" s="24"/>
    </row>
    <row r="323" spans="1:73" ht="73.5" customHeight="1" outlineLevel="2">
      <c r="A323" s="46" t="s">
        <v>460</v>
      </c>
      <c r="B323" s="26" t="s">
        <v>70</v>
      </c>
      <c r="C323" s="39">
        <f t="shared" si="47"/>
        <v>21617.39039</v>
      </c>
      <c r="D323" s="1">
        <f t="shared" si="45"/>
        <v>449.93607000000003</v>
      </c>
      <c r="E323" s="1">
        <f t="shared" si="46"/>
        <v>21167.45432</v>
      </c>
      <c r="F323" s="22"/>
      <c r="G323" s="22"/>
      <c r="H323" s="22"/>
      <c r="I323" s="22"/>
      <c r="J323" s="22"/>
      <c r="K323" s="22"/>
      <c r="L323" s="22"/>
      <c r="M323" s="22">
        <f>8498.5236+5445.8481+5749.4829+1199.63265</f>
        <v>20893.48725</v>
      </c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22"/>
      <c r="AA323" s="22"/>
      <c r="AB323" s="23">
        <v>79.55752</v>
      </c>
      <c r="AC323" s="4">
        <v>23.30913</v>
      </c>
      <c r="AD323" s="22"/>
      <c r="AE323" s="22"/>
      <c r="AF323" s="22"/>
      <c r="AG323" s="22"/>
      <c r="AH323" s="20"/>
      <c r="AI323" s="4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4"/>
      <c r="BA323" s="4"/>
      <c r="BB323" s="4"/>
      <c r="BC323" s="22"/>
      <c r="BD323" s="22"/>
      <c r="BE323" s="22">
        <v>37.60609</v>
      </c>
      <c r="BF323" s="22">
        <v>289.37855</v>
      </c>
      <c r="BG323" s="22">
        <v>93.50755</v>
      </c>
      <c r="BH323" s="22">
        <v>81</v>
      </c>
      <c r="BI323" s="22">
        <v>119.5443</v>
      </c>
      <c r="BJ323" s="22"/>
      <c r="BK323" s="22"/>
      <c r="BL323" s="22"/>
      <c r="BM323" s="22"/>
      <c r="BN323" s="22"/>
      <c r="BO323" s="4"/>
      <c r="BP323" s="4"/>
      <c r="BQ323" s="4"/>
      <c r="BR323" s="4"/>
      <c r="BS323" s="4"/>
      <c r="BT323" s="22"/>
      <c r="BU323" s="24"/>
    </row>
    <row r="324" spans="1:73" ht="73.5" customHeight="1" outlineLevel="2">
      <c r="A324" s="46" t="s">
        <v>460</v>
      </c>
      <c r="B324" s="26" t="s">
        <v>251</v>
      </c>
      <c r="C324" s="39">
        <f t="shared" si="47"/>
        <v>144.7717</v>
      </c>
      <c r="D324" s="1">
        <f t="shared" si="45"/>
        <v>87.96381</v>
      </c>
      <c r="E324" s="1">
        <f t="shared" si="46"/>
        <v>56.80789</v>
      </c>
      <c r="F324" s="22"/>
      <c r="G324" s="22"/>
      <c r="H324" s="22"/>
      <c r="I324" s="22"/>
      <c r="J324" s="22"/>
      <c r="K324" s="22"/>
      <c r="L324" s="22"/>
      <c r="M324" s="2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22"/>
      <c r="AA324" s="22"/>
      <c r="AB324" s="4"/>
      <c r="AC324" s="4"/>
      <c r="AD324" s="22"/>
      <c r="AE324" s="22"/>
      <c r="AF324" s="22"/>
      <c r="AG324" s="22"/>
      <c r="AH324" s="20"/>
      <c r="AI324" s="4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4"/>
      <c r="BA324" s="4"/>
      <c r="BB324" s="4"/>
      <c r="BC324" s="22"/>
      <c r="BD324" s="22"/>
      <c r="BE324" s="22"/>
      <c r="BF324" s="22">
        <v>87.96381</v>
      </c>
      <c r="BG324" s="22">
        <v>11.43337</v>
      </c>
      <c r="BH324" s="22"/>
      <c r="BI324" s="22">
        <v>45.37452</v>
      </c>
      <c r="BJ324" s="22"/>
      <c r="BK324" s="22"/>
      <c r="BL324" s="22"/>
      <c r="BM324" s="22"/>
      <c r="BN324" s="22"/>
      <c r="BO324" s="4"/>
      <c r="BP324" s="4"/>
      <c r="BQ324" s="4"/>
      <c r="BR324" s="4"/>
      <c r="BS324" s="4"/>
      <c r="BT324" s="22"/>
      <c r="BU324" s="24"/>
    </row>
    <row r="325" spans="1:73" ht="73.5" customHeight="1" outlineLevel="2">
      <c r="A325" s="46" t="s">
        <v>460</v>
      </c>
      <c r="B325" s="26" t="s">
        <v>478</v>
      </c>
      <c r="C325" s="39">
        <f t="shared" si="47"/>
        <v>185.25611</v>
      </c>
      <c r="D325" s="1">
        <f t="shared" si="45"/>
        <v>173.56499</v>
      </c>
      <c r="E325" s="1">
        <f t="shared" si="46"/>
        <v>11.69112</v>
      </c>
      <c r="F325" s="22"/>
      <c r="G325" s="22"/>
      <c r="H325" s="22"/>
      <c r="I325" s="22"/>
      <c r="J325" s="22"/>
      <c r="K325" s="22"/>
      <c r="L325" s="22"/>
      <c r="M325" s="22"/>
      <c r="N325" s="4">
        <v>173.56499</v>
      </c>
      <c r="O325" s="4">
        <f>8.05993+3.63119</f>
        <v>11.69112</v>
      </c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22"/>
      <c r="AA325" s="22"/>
      <c r="AB325" s="4"/>
      <c r="AC325" s="4"/>
      <c r="AD325" s="22"/>
      <c r="AE325" s="22"/>
      <c r="AF325" s="22"/>
      <c r="AG325" s="22"/>
      <c r="AH325" s="20"/>
      <c r="AI325" s="4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4"/>
      <c r="BA325" s="4"/>
      <c r="BB325" s="4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4"/>
      <c r="BP325" s="4"/>
      <c r="BQ325" s="4"/>
      <c r="BR325" s="4"/>
      <c r="BS325" s="4"/>
      <c r="BT325" s="22"/>
      <c r="BU325" s="24"/>
    </row>
    <row r="326" spans="1:73" ht="103.5" customHeight="1" outlineLevel="2">
      <c r="A326" s="46" t="s">
        <v>460</v>
      </c>
      <c r="B326" s="64" t="s">
        <v>503</v>
      </c>
      <c r="C326" s="39">
        <f t="shared" si="47"/>
        <v>71.10817</v>
      </c>
      <c r="D326" s="1">
        <f t="shared" si="45"/>
        <v>0</v>
      </c>
      <c r="E326" s="1">
        <f t="shared" si="46"/>
        <v>71.10817</v>
      </c>
      <c r="F326" s="22"/>
      <c r="G326" s="22"/>
      <c r="H326" s="22"/>
      <c r="I326" s="22"/>
      <c r="J326" s="22"/>
      <c r="K326" s="22"/>
      <c r="L326" s="22"/>
      <c r="M326" s="2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22"/>
      <c r="AA326" s="22"/>
      <c r="AB326" s="4"/>
      <c r="AC326" s="4"/>
      <c r="AD326" s="22"/>
      <c r="AE326" s="22"/>
      <c r="AF326" s="22"/>
      <c r="AG326" s="22"/>
      <c r="AH326" s="20">
        <f>26.13857+44.9696</f>
        <v>71.10817</v>
      </c>
      <c r="AI326" s="4">
        <v>44.9696</v>
      </c>
      <c r="AJ326" s="22">
        <v>26.13857</v>
      </c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4"/>
      <c r="BA326" s="4"/>
      <c r="BB326" s="4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4"/>
      <c r="BP326" s="4"/>
      <c r="BQ326" s="4"/>
      <c r="BR326" s="4"/>
      <c r="BS326" s="4"/>
      <c r="BT326" s="22"/>
      <c r="BU326" s="24"/>
    </row>
    <row r="327" spans="1:73" ht="73.5" customHeight="1" outlineLevel="2" thickBot="1">
      <c r="A327" s="46" t="s">
        <v>460</v>
      </c>
      <c r="B327" s="26" t="s">
        <v>201</v>
      </c>
      <c r="C327" s="39">
        <f t="shared" si="47"/>
        <v>387.75515</v>
      </c>
      <c r="D327" s="1">
        <f t="shared" si="45"/>
        <v>0</v>
      </c>
      <c r="E327" s="1">
        <f t="shared" si="46"/>
        <v>387.75515</v>
      </c>
      <c r="F327" s="22"/>
      <c r="G327" s="22"/>
      <c r="H327" s="22"/>
      <c r="I327" s="22"/>
      <c r="J327" s="22"/>
      <c r="K327" s="22"/>
      <c r="L327" s="22"/>
      <c r="M327" s="22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22"/>
      <c r="AA327" s="22"/>
      <c r="AB327" s="4"/>
      <c r="AC327" s="4"/>
      <c r="AD327" s="22"/>
      <c r="AE327" s="22"/>
      <c r="AF327" s="22"/>
      <c r="AG327" s="22"/>
      <c r="AH327" s="20">
        <f>297.0174+45.76815+44.9696</f>
        <v>387.75515</v>
      </c>
      <c r="AI327" s="4">
        <v>44.9696</v>
      </c>
      <c r="AJ327" s="22">
        <v>342.78555</v>
      </c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4"/>
      <c r="BA327" s="4"/>
      <c r="BB327" s="4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4"/>
      <c r="BP327" s="4"/>
      <c r="BQ327" s="4"/>
      <c r="BR327" s="4"/>
      <c r="BS327" s="4"/>
      <c r="BT327" s="22"/>
      <c r="BU327" s="24"/>
    </row>
    <row r="328" spans="1:74" s="35" customFormat="1" ht="73.5" customHeight="1" outlineLevel="1" thickBot="1">
      <c r="A328" s="29" t="s">
        <v>467</v>
      </c>
      <c r="B328" s="54"/>
      <c r="C328" s="49">
        <f aca="true" t="shared" si="48" ref="C328:BN328">SUBTOTAL(9,C284:C327)</f>
        <v>195862.89839000005</v>
      </c>
      <c r="D328" s="49">
        <f t="shared" si="48"/>
        <v>52877.226569999984</v>
      </c>
      <c r="E328" s="49">
        <f t="shared" si="48"/>
        <v>142985.67182000002</v>
      </c>
      <c r="F328" s="49">
        <f t="shared" si="48"/>
        <v>15207.534590000001</v>
      </c>
      <c r="G328" s="49">
        <f t="shared" si="48"/>
        <v>5024.87214</v>
      </c>
      <c r="H328" s="49">
        <f t="shared" si="48"/>
        <v>0</v>
      </c>
      <c r="I328" s="49">
        <f t="shared" si="48"/>
        <v>0</v>
      </c>
      <c r="J328" s="49">
        <f t="shared" si="48"/>
        <v>22.02481</v>
      </c>
      <c r="K328" s="49">
        <f t="shared" si="48"/>
        <v>3.78282</v>
      </c>
      <c r="L328" s="49">
        <f t="shared" si="48"/>
        <v>35.38753</v>
      </c>
      <c r="M328" s="49">
        <f t="shared" si="48"/>
        <v>56487.89838</v>
      </c>
      <c r="N328" s="49">
        <f t="shared" si="48"/>
        <v>201.63377</v>
      </c>
      <c r="O328" s="49">
        <f t="shared" si="48"/>
        <v>28.678380000000004</v>
      </c>
      <c r="P328" s="49">
        <f t="shared" si="48"/>
        <v>0</v>
      </c>
      <c r="Q328" s="49">
        <f t="shared" si="48"/>
        <v>0</v>
      </c>
      <c r="R328" s="49">
        <f t="shared" si="48"/>
        <v>0</v>
      </c>
      <c r="S328" s="49">
        <f t="shared" si="48"/>
        <v>0</v>
      </c>
      <c r="T328" s="49">
        <f t="shared" si="48"/>
        <v>0</v>
      </c>
      <c r="U328" s="49">
        <f t="shared" si="48"/>
        <v>0</v>
      </c>
      <c r="V328" s="49">
        <f t="shared" si="48"/>
        <v>0</v>
      </c>
      <c r="W328" s="49">
        <f t="shared" si="48"/>
        <v>0</v>
      </c>
      <c r="X328" s="49">
        <f t="shared" si="48"/>
        <v>0</v>
      </c>
      <c r="Y328" s="49">
        <f t="shared" si="48"/>
        <v>0</v>
      </c>
      <c r="Z328" s="49">
        <f t="shared" si="48"/>
        <v>258.67386999999997</v>
      </c>
      <c r="AA328" s="49">
        <f t="shared" si="48"/>
        <v>824.91553</v>
      </c>
      <c r="AB328" s="49">
        <f t="shared" si="48"/>
        <v>3410.43357</v>
      </c>
      <c r="AC328" s="49">
        <f t="shared" si="48"/>
        <v>1631.6392400000002</v>
      </c>
      <c r="AD328" s="49">
        <f t="shared" si="48"/>
        <v>310.44732</v>
      </c>
      <c r="AE328" s="49">
        <f t="shared" si="48"/>
        <v>47.40878</v>
      </c>
      <c r="AF328" s="49">
        <f t="shared" si="48"/>
        <v>0</v>
      </c>
      <c r="AG328" s="49">
        <f t="shared" si="48"/>
        <v>0</v>
      </c>
      <c r="AH328" s="49">
        <f t="shared" si="48"/>
        <v>2650.23582</v>
      </c>
      <c r="AI328" s="49">
        <f t="shared" si="48"/>
        <v>1077.9010999999998</v>
      </c>
      <c r="AJ328" s="49">
        <f t="shared" si="48"/>
        <v>1572.33472</v>
      </c>
      <c r="AK328" s="49">
        <f t="shared" si="48"/>
        <v>22550.981</v>
      </c>
      <c r="AL328" s="49">
        <f t="shared" si="48"/>
        <v>7179.50169</v>
      </c>
      <c r="AM328" s="49">
        <f t="shared" si="48"/>
        <v>14940</v>
      </c>
      <c r="AN328" s="49">
        <f t="shared" si="48"/>
        <v>9960</v>
      </c>
      <c r="AO328" s="49">
        <f t="shared" si="48"/>
        <v>2088.8646</v>
      </c>
      <c r="AP328" s="49">
        <f t="shared" si="48"/>
        <v>961.44</v>
      </c>
      <c r="AQ328" s="49">
        <f t="shared" si="48"/>
        <v>3076.5</v>
      </c>
      <c r="AR328" s="49">
        <f t="shared" si="48"/>
        <v>0</v>
      </c>
      <c r="AS328" s="49">
        <f t="shared" si="48"/>
        <v>0</v>
      </c>
      <c r="AT328" s="49">
        <f t="shared" si="48"/>
        <v>450</v>
      </c>
      <c r="AU328" s="49">
        <f t="shared" si="48"/>
        <v>360</v>
      </c>
      <c r="AV328" s="49">
        <f t="shared" si="48"/>
        <v>66.873</v>
      </c>
      <c r="AW328" s="49">
        <f t="shared" si="48"/>
        <v>407.008</v>
      </c>
      <c r="AX328" s="49">
        <f t="shared" si="48"/>
        <v>632.3199999999999</v>
      </c>
      <c r="AY328" s="49">
        <f t="shared" si="48"/>
        <v>6224.179550000001</v>
      </c>
      <c r="AZ328" s="49">
        <f t="shared" si="48"/>
        <v>3096.8490800000004</v>
      </c>
      <c r="BA328" s="49">
        <f t="shared" si="48"/>
        <v>0</v>
      </c>
      <c r="BB328" s="49">
        <f t="shared" si="48"/>
        <v>0</v>
      </c>
      <c r="BC328" s="49">
        <f t="shared" si="48"/>
        <v>0</v>
      </c>
      <c r="BD328" s="49">
        <f t="shared" si="48"/>
        <v>3550.47788</v>
      </c>
      <c r="BE328" s="49">
        <f t="shared" si="48"/>
        <v>834.4406299999999</v>
      </c>
      <c r="BF328" s="49">
        <f t="shared" si="48"/>
        <v>9439.434490000001</v>
      </c>
      <c r="BG328" s="49">
        <f t="shared" si="48"/>
        <v>5415.486710000002</v>
      </c>
      <c r="BH328" s="49">
        <f t="shared" si="48"/>
        <v>324</v>
      </c>
      <c r="BI328" s="49">
        <f t="shared" si="48"/>
        <v>594.44583</v>
      </c>
      <c r="BJ328" s="49">
        <f t="shared" si="48"/>
        <v>2237.52938</v>
      </c>
      <c r="BK328" s="49">
        <f t="shared" si="48"/>
        <v>0</v>
      </c>
      <c r="BL328" s="49">
        <f t="shared" si="48"/>
        <v>0</v>
      </c>
      <c r="BM328" s="49">
        <f t="shared" si="48"/>
        <v>0</v>
      </c>
      <c r="BN328" s="49">
        <f t="shared" si="48"/>
        <v>0</v>
      </c>
      <c r="BO328" s="49">
        <f aca="true" t="shared" si="49" ref="BO328:BT328">SUBTOTAL(9,BO284:BO327)</f>
        <v>0</v>
      </c>
      <c r="BP328" s="49">
        <f t="shared" si="49"/>
        <v>6000</v>
      </c>
      <c r="BQ328" s="49">
        <f t="shared" si="49"/>
        <v>0</v>
      </c>
      <c r="BR328" s="49">
        <f t="shared" si="49"/>
        <v>0</v>
      </c>
      <c r="BS328" s="2">
        <f t="shared" si="49"/>
        <v>0</v>
      </c>
      <c r="BT328" s="2">
        <f t="shared" si="49"/>
        <v>9327</v>
      </c>
      <c r="BU328" s="50"/>
      <c r="BV328" s="34"/>
    </row>
    <row r="329" spans="1:73" ht="73.5" customHeight="1" outlineLevel="2">
      <c r="A329" s="36" t="s">
        <v>468</v>
      </c>
      <c r="B329" s="52" t="s">
        <v>148</v>
      </c>
      <c r="C329" s="39">
        <f>D329+E329</f>
        <v>1356.44297</v>
      </c>
      <c r="D329" s="1">
        <f aca="true" t="shared" si="50" ref="D329:D338">F329+J329+N329+R329+T329+Z329+AB329+AD329+AF329+AM329+AO329+AT329+AY329+BF329+BO329+BS329+H329+V329+X329+BQ329+AR329+BH329</f>
        <v>577.61117</v>
      </c>
      <c r="E329" s="1">
        <f aca="true" t="shared" si="51" ref="E329:E338">G329+I329+K329+L329+M329+O329+P329+Q329+S329+U329+W329+Y329+AA329+AC329+AE329+AG329+AH329+AK329+AL329+AN329+AP329+AQ329+AS329+AU329+AV329+AW329+AX329+AZ329+BA329+BB329+BC329+BD329+BE329+BG329+BI329+BJ329+BK329+BL329+BM329+BN329+BU329+BP329+BR329+BT329</f>
        <v>778.8317999999999</v>
      </c>
      <c r="F329" s="40"/>
      <c r="G329" s="40"/>
      <c r="H329" s="40"/>
      <c r="I329" s="40"/>
      <c r="J329" s="40"/>
      <c r="K329" s="40"/>
      <c r="L329" s="40"/>
      <c r="M329" s="40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0"/>
      <c r="AA329" s="40"/>
      <c r="AB329" s="42">
        <v>68.19564</v>
      </c>
      <c r="AC329" s="41">
        <v>23.30913</v>
      </c>
      <c r="AD329" s="40"/>
      <c r="AE329" s="40"/>
      <c r="AF329" s="40"/>
      <c r="AG329" s="40"/>
      <c r="AH329" s="43"/>
      <c r="AI329" s="41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>
        <v>308.40248</v>
      </c>
      <c r="AZ329" s="41">
        <v>274.01552</v>
      </c>
      <c r="BA329" s="41"/>
      <c r="BB329" s="41"/>
      <c r="BC329" s="40"/>
      <c r="BD329" s="40"/>
      <c r="BE329" s="40"/>
      <c r="BF329" s="40">
        <v>201.01305</v>
      </c>
      <c r="BG329" s="40">
        <v>126.31994</v>
      </c>
      <c r="BH329" s="40"/>
      <c r="BI329" s="40"/>
      <c r="BJ329" s="40">
        <v>355.18721</v>
      </c>
      <c r="BK329" s="40"/>
      <c r="BL329" s="40"/>
      <c r="BM329" s="40"/>
      <c r="BN329" s="40"/>
      <c r="BO329" s="41"/>
      <c r="BP329" s="41"/>
      <c r="BQ329" s="41"/>
      <c r="BR329" s="41"/>
      <c r="BS329" s="4"/>
      <c r="BT329" s="22"/>
      <c r="BU329" s="24"/>
    </row>
    <row r="330" spans="1:73" ht="73.5" customHeight="1" outlineLevel="2">
      <c r="A330" s="46" t="s">
        <v>468</v>
      </c>
      <c r="B330" s="26" t="s">
        <v>33</v>
      </c>
      <c r="C330" s="39">
        <f aca="true" t="shared" si="52" ref="C330:C338">D330+E330</f>
        <v>900.1618599999999</v>
      </c>
      <c r="D330" s="1">
        <f t="shared" si="50"/>
        <v>376.19478</v>
      </c>
      <c r="E330" s="1">
        <f t="shared" si="51"/>
        <v>523.96708</v>
      </c>
      <c r="F330" s="22"/>
      <c r="G330" s="22"/>
      <c r="H330" s="22"/>
      <c r="I330" s="22"/>
      <c r="J330" s="22"/>
      <c r="K330" s="22"/>
      <c r="L330" s="22"/>
      <c r="M330" s="22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22"/>
      <c r="AA330" s="22"/>
      <c r="AB330" s="4"/>
      <c r="AC330" s="4"/>
      <c r="AD330" s="22"/>
      <c r="AE330" s="22"/>
      <c r="AF330" s="22"/>
      <c r="AG330" s="22"/>
      <c r="AH330" s="20"/>
      <c r="AI330" s="4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>
        <v>280.80451</v>
      </c>
      <c r="AZ330" s="4">
        <v>342.7478</v>
      </c>
      <c r="BA330" s="4"/>
      <c r="BB330" s="4"/>
      <c r="BC330" s="22"/>
      <c r="BD330" s="22"/>
      <c r="BE330" s="22">
        <v>121.5</v>
      </c>
      <c r="BF330" s="22">
        <f>100.24421-4.85394</f>
        <v>95.39027</v>
      </c>
      <c r="BG330" s="22">
        <f>62.76726-3.04798</f>
        <v>59.71928</v>
      </c>
      <c r="BH330" s="22"/>
      <c r="BI330" s="22"/>
      <c r="BJ330" s="22"/>
      <c r="BK330" s="22"/>
      <c r="BL330" s="22"/>
      <c r="BM330" s="22"/>
      <c r="BN330" s="22"/>
      <c r="BO330" s="4"/>
      <c r="BP330" s="4"/>
      <c r="BQ330" s="4"/>
      <c r="BR330" s="4"/>
      <c r="BS330" s="4"/>
      <c r="BT330" s="22"/>
      <c r="BU330" s="24"/>
    </row>
    <row r="331" spans="1:73" ht="73.5" customHeight="1" outlineLevel="2">
      <c r="A331" s="46" t="s">
        <v>468</v>
      </c>
      <c r="B331" s="26" t="s">
        <v>44</v>
      </c>
      <c r="C331" s="39">
        <f t="shared" si="52"/>
        <v>93.58397</v>
      </c>
      <c r="D331" s="1">
        <f t="shared" si="50"/>
        <v>58.06208</v>
      </c>
      <c r="E331" s="1">
        <f t="shared" si="51"/>
        <v>35.52189</v>
      </c>
      <c r="F331" s="22"/>
      <c r="G331" s="22"/>
      <c r="H331" s="22"/>
      <c r="I331" s="22"/>
      <c r="J331" s="22"/>
      <c r="K331" s="22"/>
      <c r="L331" s="22"/>
      <c r="M331" s="2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22"/>
      <c r="AA331" s="22"/>
      <c r="AB331" s="23">
        <v>22.75725</v>
      </c>
      <c r="AC331" s="4">
        <v>13.40275</v>
      </c>
      <c r="AD331" s="22"/>
      <c r="AE331" s="22"/>
      <c r="AF331" s="22"/>
      <c r="AG331" s="22"/>
      <c r="AH331" s="20"/>
      <c r="AI331" s="4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4"/>
      <c r="BA331" s="4"/>
      <c r="BB331" s="4"/>
      <c r="BC331" s="22"/>
      <c r="BD331" s="22"/>
      <c r="BE331" s="22"/>
      <c r="BF331" s="22">
        <v>35.30483</v>
      </c>
      <c r="BG331" s="22">
        <v>22.11914</v>
      </c>
      <c r="BH331" s="22"/>
      <c r="BI331" s="22"/>
      <c r="BJ331" s="22"/>
      <c r="BK331" s="22"/>
      <c r="BL331" s="22"/>
      <c r="BM331" s="22"/>
      <c r="BN331" s="22"/>
      <c r="BO331" s="4"/>
      <c r="BP331" s="4"/>
      <c r="BQ331" s="4"/>
      <c r="BR331" s="4"/>
      <c r="BS331" s="4"/>
      <c r="BT331" s="22"/>
      <c r="BU331" s="24"/>
    </row>
    <row r="332" spans="1:73" ht="73.5" customHeight="1" outlineLevel="2">
      <c r="A332" s="46" t="s">
        <v>468</v>
      </c>
      <c r="B332" s="26" t="s">
        <v>15</v>
      </c>
      <c r="C332" s="39">
        <f t="shared" si="52"/>
        <v>3019.1345499999998</v>
      </c>
      <c r="D332" s="1">
        <f t="shared" si="50"/>
        <v>191.83483</v>
      </c>
      <c r="E332" s="1">
        <f t="shared" si="51"/>
        <v>2827.29972</v>
      </c>
      <c r="F332" s="22"/>
      <c r="G332" s="22"/>
      <c r="H332" s="22"/>
      <c r="I332" s="22"/>
      <c r="J332" s="22"/>
      <c r="K332" s="22"/>
      <c r="L332" s="22"/>
      <c r="M332" s="2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22"/>
      <c r="AA332" s="22"/>
      <c r="AB332" s="4"/>
      <c r="AC332" s="4"/>
      <c r="AD332" s="22"/>
      <c r="AE332" s="22"/>
      <c r="AF332" s="22"/>
      <c r="AG332" s="22"/>
      <c r="AH332" s="20"/>
      <c r="AI332" s="4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>
        <v>191.83483</v>
      </c>
      <c r="AZ332" s="4">
        <v>217.29972</v>
      </c>
      <c r="BA332" s="4">
        <v>2610</v>
      </c>
      <c r="BB332" s="4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4"/>
      <c r="BP332" s="4"/>
      <c r="BQ332" s="4"/>
      <c r="BR332" s="4"/>
      <c r="BS332" s="4"/>
      <c r="BT332" s="22"/>
      <c r="BU332" s="24"/>
    </row>
    <row r="333" spans="1:73" ht="73.5" customHeight="1" outlineLevel="2">
      <c r="A333" s="46" t="s">
        <v>468</v>
      </c>
      <c r="B333" s="26" t="s">
        <v>21</v>
      </c>
      <c r="C333" s="39">
        <f t="shared" si="52"/>
        <v>330.77455999999995</v>
      </c>
      <c r="D333" s="1">
        <f t="shared" si="50"/>
        <v>162.69292</v>
      </c>
      <c r="E333" s="1">
        <f t="shared" si="51"/>
        <v>168.08164</v>
      </c>
      <c r="F333" s="22"/>
      <c r="G333" s="22"/>
      <c r="H333" s="22"/>
      <c r="I333" s="22"/>
      <c r="J333" s="22"/>
      <c r="K333" s="22"/>
      <c r="L333" s="22"/>
      <c r="M333" s="2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22"/>
      <c r="AA333" s="22"/>
      <c r="AB333" s="4"/>
      <c r="AC333" s="4"/>
      <c r="AD333" s="22"/>
      <c r="AE333" s="22"/>
      <c r="AF333" s="22"/>
      <c r="AG333" s="22"/>
      <c r="AH333" s="20"/>
      <c r="AI333" s="4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>
        <v>162.69292</v>
      </c>
      <c r="AZ333" s="4">
        <v>168.08164</v>
      </c>
      <c r="BA333" s="4"/>
      <c r="BB333" s="4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4"/>
      <c r="BP333" s="4"/>
      <c r="BQ333" s="4"/>
      <c r="BR333" s="4"/>
      <c r="BS333" s="4"/>
      <c r="BT333" s="22"/>
      <c r="BU333" s="24"/>
    </row>
    <row r="334" spans="1:73" ht="73.5" customHeight="1" outlineLevel="2">
      <c r="A334" s="46" t="s">
        <v>468</v>
      </c>
      <c r="B334" s="26" t="s">
        <v>702</v>
      </c>
      <c r="C334" s="39">
        <f t="shared" si="52"/>
        <v>242.54218</v>
      </c>
      <c r="D334" s="1">
        <f t="shared" si="50"/>
        <v>180.11204</v>
      </c>
      <c r="E334" s="1">
        <f t="shared" si="51"/>
        <v>62.43014</v>
      </c>
      <c r="F334" s="22"/>
      <c r="G334" s="22"/>
      <c r="H334" s="22"/>
      <c r="I334" s="22"/>
      <c r="J334" s="22"/>
      <c r="K334" s="22"/>
      <c r="L334" s="22"/>
      <c r="M334" s="2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22">
        <v>33.70347</v>
      </c>
      <c r="AA334" s="22"/>
      <c r="AB334" s="4"/>
      <c r="AC334" s="4"/>
      <c r="AD334" s="22"/>
      <c r="AE334" s="22"/>
      <c r="AF334" s="22"/>
      <c r="AG334" s="22"/>
      <c r="AH334" s="20"/>
      <c r="AI334" s="4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4"/>
      <c r="BA334" s="4"/>
      <c r="BB334" s="4"/>
      <c r="BC334" s="22"/>
      <c r="BD334" s="22"/>
      <c r="BE334" s="22"/>
      <c r="BF334" s="22">
        <v>97.80857</v>
      </c>
      <c r="BG334" s="22">
        <v>8.87128</v>
      </c>
      <c r="BH334" s="22">
        <v>48.6</v>
      </c>
      <c r="BI334" s="22">
        <v>53.55886</v>
      </c>
      <c r="BJ334" s="22"/>
      <c r="BK334" s="22"/>
      <c r="BL334" s="22"/>
      <c r="BM334" s="22"/>
      <c r="BN334" s="22"/>
      <c r="BO334" s="4"/>
      <c r="BP334" s="4"/>
      <c r="BQ334" s="4"/>
      <c r="BR334" s="4"/>
      <c r="BS334" s="4"/>
      <c r="BT334" s="22"/>
      <c r="BU334" s="24"/>
    </row>
    <row r="335" spans="1:73" ht="73.5" customHeight="1" outlineLevel="2">
      <c r="A335" s="46" t="s">
        <v>468</v>
      </c>
      <c r="B335" s="26" t="s">
        <v>839</v>
      </c>
      <c r="C335" s="39">
        <f>D335+E335</f>
        <v>276</v>
      </c>
      <c r="D335" s="1">
        <f t="shared" si="50"/>
        <v>0</v>
      </c>
      <c r="E335" s="1">
        <f t="shared" si="51"/>
        <v>276</v>
      </c>
      <c r="F335" s="22"/>
      <c r="G335" s="22"/>
      <c r="H335" s="22"/>
      <c r="I335" s="22"/>
      <c r="J335" s="22"/>
      <c r="K335" s="22"/>
      <c r="L335" s="22"/>
      <c r="M335" s="2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22"/>
      <c r="AA335" s="22"/>
      <c r="AB335" s="4"/>
      <c r="AC335" s="4"/>
      <c r="AD335" s="22"/>
      <c r="AE335" s="22"/>
      <c r="AF335" s="22"/>
      <c r="AG335" s="22"/>
      <c r="AH335" s="20"/>
      <c r="AI335" s="4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>
        <v>276</v>
      </c>
      <c r="AX335" s="22"/>
      <c r="AY335" s="22"/>
      <c r="AZ335" s="4"/>
      <c r="BA335" s="4"/>
      <c r="BB335" s="4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4"/>
      <c r="BP335" s="4"/>
      <c r="BQ335" s="4"/>
      <c r="BR335" s="4"/>
      <c r="BS335" s="4"/>
      <c r="BT335" s="22"/>
      <c r="BU335" s="24"/>
    </row>
    <row r="336" spans="1:73" ht="73.5" customHeight="1" outlineLevel="2">
      <c r="A336" s="46" t="s">
        <v>468</v>
      </c>
      <c r="B336" s="26" t="s">
        <v>583</v>
      </c>
      <c r="C336" s="39">
        <f t="shared" si="52"/>
        <v>28369.73626</v>
      </c>
      <c r="D336" s="1">
        <f t="shared" si="50"/>
        <v>17517.71698</v>
      </c>
      <c r="E336" s="1">
        <f t="shared" si="51"/>
        <v>10852.01928</v>
      </c>
      <c r="F336" s="22"/>
      <c r="G336" s="22"/>
      <c r="H336" s="22"/>
      <c r="I336" s="22"/>
      <c r="J336" s="22"/>
      <c r="K336" s="22"/>
      <c r="L336" s="22"/>
      <c r="M336" s="22"/>
      <c r="N336" s="4">
        <v>156.46948</v>
      </c>
      <c r="O336" s="4">
        <v>38.14388</v>
      </c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22"/>
      <c r="AA336" s="22"/>
      <c r="AB336" s="4"/>
      <c r="AC336" s="4"/>
      <c r="AD336" s="22"/>
      <c r="AE336" s="22"/>
      <c r="AF336" s="22"/>
      <c r="AG336" s="22"/>
      <c r="AH336" s="20"/>
      <c r="AI336" s="4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4"/>
      <c r="BA336" s="4"/>
      <c r="BB336" s="4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>
        <v>430.6869</v>
      </c>
      <c r="BN336" s="22"/>
      <c r="BO336" s="4"/>
      <c r="BP336" s="4"/>
      <c r="BQ336" s="4">
        <v>17361.2475</v>
      </c>
      <c r="BR336" s="4">
        <v>10383.1885</v>
      </c>
      <c r="BS336" s="4"/>
      <c r="BT336" s="22"/>
      <c r="BU336" s="24"/>
    </row>
    <row r="337" spans="1:73" ht="73.5" customHeight="1" outlineLevel="2">
      <c r="A337" s="46" t="s">
        <v>468</v>
      </c>
      <c r="B337" s="59" t="s">
        <v>857</v>
      </c>
      <c r="C337" s="39">
        <f t="shared" si="52"/>
        <v>131.83344</v>
      </c>
      <c r="D337" s="1">
        <f t="shared" si="50"/>
        <v>0</v>
      </c>
      <c r="E337" s="1">
        <f t="shared" si="51"/>
        <v>131.83344</v>
      </c>
      <c r="F337" s="60"/>
      <c r="G337" s="60"/>
      <c r="H337" s="60"/>
      <c r="I337" s="60"/>
      <c r="J337" s="60"/>
      <c r="K337" s="60"/>
      <c r="L337" s="60"/>
      <c r="M337" s="60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0"/>
      <c r="AA337" s="60"/>
      <c r="AB337" s="61"/>
      <c r="AC337" s="61"/>
      <c r="AD337" s="60"/>
      <c r="AE337" s="60"/>
      <c r="AF337" s="60"/>
      <c r="AG337" s="60"/>
      <c r="AH337" s="62"/>
      <c r="AI337" s="61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1"/>
      <c r="BA337" s="61"/>
      <c r="BB337" s="61"/>
      <c r="BC337" s="60"/>
      <c r="BD337" s="60"/>
      <c r="BE337" s="60">
        <v>131.83344</v>
      </c>
      <c r="BF337" s="60"/>
      <c r="BG337" s="60"/>
      <c r="BH337" s="60"/>
      <c r="BI337" s="60"/>
      <c r="BJ337" s="60"/>
      <c r="BK337" s="60"/>
      <c r="BL337" s="60"/>
      <c r="BM337" s="60"/>
      <c r="BN337" s="60"/>
      <c r="BO337" s="61"/>
      <c r="BP337" s="61"/>
      <c r="BQ337" s="61"/>
      <c r="BR337" s="61"/>
      <c r="BS337" s="4"/>
      <c r="BT337" s="22"/>
      <c r="BU337" s="24"/>
    </row>
    <row r="338" spans="1:73" ht="73.5" customHeight="1" outlineLevel="2" thickBot="1">
      <c r="A338" s="63" t="s">
        <v>468</v>
      </c>
      <c r="B338" s="59" t="s">
        <v>703</v>
      </c>
      <c r="C338" s="39">
        <f t="shared" si="52"/>
        <v>8.03567</v>
      </c>
      <c r="D338" s="1">
        <f t="shared" si="50"/>
        <v>7.64041</v>
      </c>
      <c r="E338" s="1">
        <f t="shared" si="51"/>
        <v>0.39526</v>
      </c>
      <c r="F338" s="60"/>
      <c r="G338" s="60"/>
      <c r="H338" s="60"/>
      <c r="I338" s="60"/>
      <c r="J338" s="60"/>
      <c r="K338" s="60"/>
      <c r="L338" s="60"/>
      <c r="M338" s="60"/>
      <c r="N338" s="61">
        <v>7.64041</v>
      </c>
      <c r="O338" s="61">
        <v>0.39526</v>
      </c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0"/>
      <c r="AA338" s="60"/>
      <c r="AB338" s="61"/>
      <c r="AC338" s="61"/>
      <c r="AD338" s="60"/>
      <c r="AE338" s="60"/>
      <c r="AF338" s="60"/>
      <c r="AG338" s="60"/>
      <c r="AH338" s="62"/>
      <c r="AI338" s="61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1"/>
      <c r="BA338" s="61"/>
      <c r="BB338" s="61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1"/>
      <c r="BP338" s="61"/>
      <c r="BQ338" s="61"/>
      <c r="BR338" s="61"/>
      <c r="BS338" s="4"/>
      <c r="BT338" s="22"/>
      <c r="BU338" s="24"/>
    </row>
    <row r="339" spans="1:74" s="35" customFormat="1" ht="73.5" customHeight="1" outlineLevel="1" thickBot="1">
      <c r="A339" s="29" t="s">
        <v>71</v>
      </c>
      <c r="B339" s="54"/>
      <c r="C339" s="31">
        <f aca="true" t="shared" si="53" ref="C339:BN339">SUBTOTAL(9,C329:C338)</f>
        <v>34728.245460000006</v>
      </c>
      <c r="D339" s="31">
        <f t="shared" si="53"/>
        <v>19071.86521</v>
      </c>
      <c r="E339" s="31">
        <f t="shared" si="53"/>
        <v>15656.38025</v>
      </c>
      <c r="F339" s="31">
        <f t="shared" si="53"/>
        <v>0</v>
      </c>
      <c r="G339" s="31">
        <f t="shared" si="53"/>
        <v>0</v>
      </c>
      <c r="H339" s="31">
        <f t="shared" si="53"/>
        <v>0</v>
      </c>
      <c r="I339" s="31">
        <f t="shared" si="53"/>
        <v>0</v>
      </c>
      <c r="J339" s="31">
        <f t="shared" si="53"/>
        <v>0</v>
      </c>
      <c r="K339" s="31">
        <f t="shared" si="53"/>
        <v>0</v>
      </c>
      <c r="L339" s="31">
        <f t="shared" si="53"/>
        <v>0</v>
      </c>
      <c r="M339" s="31">
        <f t="shared" si="53"/>
        <v>0</v>
      </c>
      <c r="N339" s="31">
        <f t="shared" si="53"/>
        <v>164.10989</v>
      </c>
      <c r="O339" s="31">
        <f t="shared" si="53"/>
        <v>38.53914</v>
      </c>
      <c r="P339" s="31">
        <f t="shared" si="53"/>
        <v>0</v>
      </c>
      <c r="Q339" s="31">
        <f t="shared" si="53"/>
        <v>0</v>
      </c>
      <c r="R339" s="31">
        <f t="shared" si="53"/>
        <v>0</v>
      </c>
      <c r="S339" s="31">
        <f t="shared" si="53"/>
        <v>0</v>
      </c>
      <c r="T339" s="31">
        <f t="shared" si="53"/>
        <v>0</v>
      </c>
      <c r="U339" s="31">
        <f t="shared" si="53"/>
        <v>0</v>
      </c>
      <c r="V339" s="31">
        <f t="shared" si="53"/>
        <v>0</v>
      </c>
      <c r="W339" s="31">
        <f t="shared" si="53"/>
        <v>0</v>
      </c>
      <c r="X339" s="31">
        <f t="shared" si="53"/>
        <v>0</v>
      </c>
      <c r="Y339" s="31">
        <f t="shared" si="53"/>
        <v>0</v>
      </c>
      <c r="Z339" s="31">
        <f t="shared" si="53"/>
        <v>33.70347</v>
      </c>
      <c r="AA339" s="31">
        <f t="shared" si="53"/>
        <v>0</v>
      </c>
      <c r="AB339" s="31">
        <f t="shared" si="53"/>
        <v>90.95289</v>
      </c>
      <c r="AC339" s="31">
        <f t="shared" si="53"/>
        <v>36.71188</v>
      </c>
      <c r="AD339" s="31">
        <f t="shared" si="53"/>
        <v>0</v>
      </c>
      <c r="AE339" s="31">
        <f t="shared" si="53"/>
        <v>0</v>
      </c>
      <c r="AF339" s="31">
        <f t="shared" si="53"/>
        <v>0</v>
      </c>
      <c r="AG339" s="31">
        <f t="shared" si="53"/>
        <v>0</v>
      </c>
      <c r="AH339" s="31">
        <f t="shared" si="53"/>
        <v>0</v>
      </c>
      <c r="AI339" s="31">
        <f t="shared" si="53"/>
        <v>0</v>
      </c>
      <c r="AJ339" s="31">
        <f t="shared" si="53"/>
        <v>0</v>
      </c>
      <c r="AK339" s="31">
        <f t="shared" si="53"/>
        <v>0</v>
      </c>
      <c r="AL339" s="31">
        <f t="shared" si="53"/>
        <v>0</v>
      </c>
      <c r="AM339" s="31">
        <f t="shared" si="53"/>
        <v>0</v>
      </c>
      <c r="AN339" s="31">
        <f t="shared" si="53"/>
        <v>0</v>
      </c>
      <c r="AO339" s="31">
        <f t="shared" si="53"/>
        <v>0</v>
      </c>
      <c r="AP339" s="31">
        <f t="shared" si="53"/>
        <v>0</v>
      </c>
      <c r="AQ339" s="31">
        <f t="shared" si="53"/>
        <v>0</v>
      </c>
      <c r="AR339" s="31">
        <f t="shared" si="53"/>
        <v>0</v>
      </c>
      <c r="AS339" s="31">
        <f t="shared" si="53"/>
        <v>0</v>
      </c>
      <c r="AT339" s="31">
        <f t="shared" si="53"/>
        <v>0</v>
      </c>
      <c r="AU339" s="31">
        <f t="shared" si="53"/>
        <v>0</v>
      </c>
      <c r="AV339" s="31">
        <f t="shared" si="53"/>
        <v>0</v>
      </c>
      <c r="AW339" s="31">
        <f t="shared" si="53"/>
        <v>276</v>
      </c>
      <c r="AX339" s="31">
        <f t="shared" si="53"/>
        <v>0</v>
      </c>
      <c r="AY339" s="31">
        <f t="shared" si="53"/>
        <v>943.73474</v>
      </c>
      <c r="AZ339" s="31">
        <f t="shared" si="53"/>
        <v>1002.14468</v>
      </c>
      <c r="BA339" s="31">
        <f t="shared" si="53"/>
        <v>2610</v>
      </c>
      <c r="BB339" s="31">
        <f t="shared" si="53"/>
        <v>0</v>
      </c>
      <c r="BC339" s="31">
        <f t="shared" si="53"/>
        <v>0</v>
      </c>
      <c r="BD339" s="31">
        <f t="shared" si="53"/>
        <v>0</v>
      </c>
      <c r="BE339" s="31">
        <f t="shared" si="53"/>
        <v>253.33344</v>
      </c>
      <c r="BF339" s="31">
        <f t="shared" si="53"/>
        <v>429.51671999999996</v>
      </c>
      <c r="BG339" s="31">
        <f t="shared" si="53"/>
        <v>217.02964000000003</v>
      </c>
      <c r="BH339" s="31">
        <f t="shared" si="53"/>
        <v>48.6</v>
      </c>
      <c r="BI339" s="31">
        <f t="shared" si="53"/>
        <v>53.55886</v>
      </c>
      <c r="BJ339" s="31">
        <f t="shared" si="53"/>
        <v>355.18721</v>
      </c>
      <c r="BK339" s="31">
        <f t="shared" si="53"/>
        <v>0</v>
      </c>
      <c r="BL339" s="31">
        <f t="shared" si="53"/>
        <v>0</v>
      </c>
      <c r="BM339" s="31">
        <f t="shared" si="53"/>
        <v>430.6869</v>
      </c>
      <c r="BN339" s="31">
        <f t="shared" si="53"/>
        <v>0</v>
      </c>
      <c r="BO339" s="31">
        <f aca="true" t="shared" si="54" ref="BO339:BT339">SUBTOTAL(9,BO329:BO338)</f>
        <v>0</v>
      </c>
      <c r="BP339" s="31">
        <f t="shared" si="54"/>
        <v>0</v>
      </c>
      <c r="BQ339" s="31">
        <f t="shared" si="54"/>
        <v>17361.2475</v>
      </c>
      <c r="BR339" s="31">
        <f t="shared" si="54"/>
        <v>10383.1885</v>
      </c>
      <c r="BS339" s="32">
        <f t="shared" si="54"/>
        <v>0</v>
      </c>
      <c r="BT339" s="32">
        <f t="shared" si="54"/>
        <v>0</v>
      </c>
      <c r="BU339" s="33"/>
      <c r="BV339" s="34"/>
    </row>
    <row r="340" spans="1:73" ht="73.5" customHeight="1" outlineLevel="2">
      <c r="A340" s="44" t="s">
        <v>240</v>
      </c>
      <c r="B340" s="26" t="s">
        <v>346</v>
      </c>
      <c r="C340" s="39">
        <f aca="true" t="shared" si="55" ref="C340:C351">D340+E340</f>
        <v>1269.11634</v>
      </c>
      <c r="D340" s="1">
        <f aca="true" t="shared" si="56" ref="D340:D351">F340+J340+N340+R340+T340+Z340+AB340+AD340+AF340+AM340+AO340+AT340+AY340+BF340+BO340+BS340+H340+V340+X340+BQ340+AR340+BH340</f>
        <v>642.4606</v>
      </c>
      <c r="E340" s="1">
        <f aca="true" t="shared" si="57" ref="E340:E351">G340+I340+K340+L340+M340+O340+P340+Q340+S340+U340+W340+Y340+AA340+AC340+AE340+AG340+AH340+AK340+AL340+AN340+AP340+AQ340+AS340+AU340+AV340+AW340+AX340+AZ340+BA340+BB340+BC340+BD340+BE340+BG340+BI340+BJ340+BK340+BL340+BM340+BN340+BU340+BP340+BR340+BT340</f>
        <v>626.65574</v>
      </c>
      <c r="F340" s="22"/>
      <c r="G340" s="22"/>
      <c r="H340" s="22"/>
      <c r="I340" s="22"/>
      <c r="J340" s="22"/>
      <c r="K340" s="22"/>
      <c r="L340" s="22"/>
      <c r="M340" s="2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22"/>
      <c r="AA340" s="22">
        <v>14.337</v>
      </c>
      <c r="AB340" s="23">
        <v>76.46338</v>
      </c>
      <c r="AC340" s="28">
        <v>36.82843</v>
      </c>
      <c r="AD340" s="22"/>
      <c r="AE340" s="22"/>
      <c r="AF340" s="22"/>
      <c r="AG340" s="22"/>
      <c r="AH340" s="20">
        <f>36.13275+28.106</f>
        <v>64.23875000000001</v>
      </c>
      <c r="AI340" s="4">
        <v>28.106</v>
      </c>
      <c r="AJ340" s="22">
        <v>36.13275</v>
      </c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4"/>
      <c r="BA340" s="4"/>
      <c r="BB340" s="4"/>
      <c r="BC340" s="22"/>
      <c r="BD340" s="22">
        <v>18.6179</v>
      </c>
      <c r="BE340" s="22">
        <v>140.4</v>
      </c>
      <c r="BF340" s="22">
        <v>565.99722</v>
      </c>
      <c r="BG340" s="22">
        <v>352.23366</v>
      </c>
      <c r="BH340" s="22"/>
      <c r="BI340" s="22"/>
      <c r="BJ340" s="22"/>
      <c r="BK340" s="22"/>
      <c r="BL340" s="22"/>
      <c r="BM340" s="22"/>
      <c r="BN340" s="22"/>
      <c r="BO340" s="4"/>
      <c r="BP340" s="4"/>
      <c r="BQ340" s="4"/>
      <c r="BR340" s="4"/>
      <c r="BS340" s="4"/>
      <c r="BT340" s="22"/>
      <c r="BU340" s="24"/>
    </row>
    <row r="341" spans="1:73" ht="73.5" customHeight="1" outlineLevel="2">
      <c r="A341" s="46" t="s">
        <v>240</v>
      </c>
      <c r="B341" s="26" t="s">
        <v>339</v>
      </c>
      <c r="C341" s="39">
        <f t="shared" si="55"/>
        <v>23251.72615</v>
      </c>
      <c r="D341" s="1">
        <f t="shared" si="56"/>
        <v>3744.3208999999997</v>
      </c>
      <c r="E341" s="1">
        <f t="shared" si="57"/>
        <v>19507.40525</v>
      </c>
      <c r="F341" s="22"/>
      <c r="G341" s="22"/>
      <c r="H341" s="22"/>
      <c r="I341" s="22"/>
      <c r="J341" s="22"/>
      <c r="K341" s="22"/>
      <c r="L341" s="22"/>
      <c r="M341" s="2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22">
        <v>244.90209</v>
      </c>
      <c r="AA341" s="22">
        <v>441.027</v>
      </c>
      <c r="AB341" s="23">
        <v>862.38254</v>
      </c>
      <c r="AC341" s="4">
        <v>372.94611</v>
      </c>
      <c r="AD341" s="22"/>
      <c r="AE341" s="22"/>
      <c r="AF341" s="22"/>
      <c r="AG341" s="22"/>
      <c r="AH341" s="20">
        <f>264.9375+100.04763+134.8956+79.8114+261.98365</f>
        <v>841.67578</v>
      </c>
      <c r="AI341" s="4">
        <v>341.79505</v>
      </c>
      <c r="AJ341" s="22">
        <v>499.88073</v>
      </c>
      <c r="AK341" s="22"/>
      <c r="AL341" s="22">
        <v>5970.13523</v>
      </c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>
        <v>455.65597</v>
      </c>
      <c r="AZ341" s="4">
        <v>412.02379</v>
      </c>
      <c r="BA341" s="4"/>
      <c r="BB341" s="4"/>
      <c r="BC341" s="22"/>
      <c r="BD341" s="22">
        <f>8772.10413+1123.7195</f>
        <v>9895.823629999999</v>
      </c>
      <c r="BE341" s="22">
        <v>209.49377</v>
      </c>
      <c r="BF341" s="22">
        <v>2181.3803</v>
      </c>
      <c r="BG341" s="22">
        <v>1364.27994</v>
      </c>
      <c r="BH341" s="22"/>
      <c r="BI341" s="22"/>
      <c r="BJ341" s="22"/>
      <c r="BK341" s="22"/>
      <c r="BL341" s="22"/>
      <c r="BM341" s="22"/>
      <c r="BN341" s="22"/>
      <c r="BO341" s="4"/>
      <c r="BP341" s="4"/>
      <c r="BQ341" s="4"/>
      <c r="BR341" s="4"/>
      <c r="BS341" s="4"/>
      <c r="BT341" s="22"/>
      <c r="BU341" s="24"/>
    </row>
    <row r="342" spans="1:73" ht="73.5" customHeight="1" outlineLevel="2">
      <c r="A342" s="46" t="s">
        <v>240</v>
      </c>
      <c r="B342" s="26" t="s">
        <v>766</v>
      </c>
      <c r="C342" s="39">
        <f t="shared" si="55"/>
        <v>7.7347</v>
      </c>
      <c r="D342" s="1">
        <f t="shared" si="56"/>
        <v>4.76495</v>
      </c>
      <c r="E342" s="1">
        <f t="shared" si="57"/>
        <v>2.96975</v>
      </c>
      <c r="F342" s="22"/>
      <c r="G342" s="22"/>
      <c r="H342" s="22"/>
      <c r="I342" s="22"/>
      <c r="J342" s="22"/>
      <c r="K342" s="22"/>
      <c r="L342" s="22"/>
      <c r="M342" s="2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22"/>
      <c r="AA342" s="22"/>
      <c r="AB342" s="4"/>
      <c r="AC342" s="4"/>
      <c r="AD342" s="22"/>
      <c r="AE342" s="22"/>
      <c r="AF342" s="22"/>
      <c r="AG342" s="22"/>
      <c r="AH342" s="20"/>
      <c r="AI342" s="4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4"/>
      <c r="BA342" s="4"/>
      <c r="BB342" s="4"/>
      <c r="BC342" s="22"/>
      <c r="BD342" s="22"/>
      <c r="BE342" s="22"/>
      <c r="BF342" s="22">
        <v>4.76495</v>
      </c>
      <c r="BG342" s="22">
        <v>2.96975</v>
      </c>
      <c r="BH342" s="22"/>
      <c r="BI342" s="22"/>
      <c r="BJ342" s="22"/>
      <c r="BK342" s="22"/>
      <c r="BL342" s="22"/>
      <c r="BM342" s="22"/>
      <c r="BN342" s="22"/>
      <c r="BO342" s="4"/>
      <c r="BP342" s="4"/>
      <c r="BQ342" s="4"/>
      <c r="BR342" s="4"/>
      <c r="BS342" s="4"/>
      <c r="BT342" s="22"/>
      <c r="BU342" s="24"/>
    </row>
    <row r="343" spans="1:73" ht="73.5" customHeight="1" outlineLevel="2">
      <c r="A343" s="26" t="s">
        <v>240</v>
      </c>
      <c r="B343" s="26" t="s">
        <v>694</v>
      </c>
      <c r="C343" s="39">
        <f t="shared" si="55"/>
        <v>159.47104000000002</v>
      </c>
      <c r="D343" s="1">
        <f t="shared" si="56"/>
        <v>92.60734000000001</v>
      </c>
      <c r="E343" s="1">
        <f t="shared" si="57"/>
        <v>66.8637</v>
      </c>
      <c r="F343" s="22">
        <v>4.23467</v>
      </c>
      <c r="G343" s="22">
        <v>1.83648</v>
      </c>
      <c r="H343" s="22"/>
      <c r="I343" s="22"/>
      <c r="J343" s="22"/>
      <c r="K343" s="22"/>
      <c r="L343" s="22"/>
      <c r="M343" s="2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22">
        <v>2.60637</v>
      </c>
      <c r="AA343" s="22">
        <v>1.7415</v>
      </c>
      <c r="AB343" s="4"/>
      <c r="AC343" s="4"/>
      <c r="AD343" s="22"/>
      <c r="AE343" s="22"/>
      <c r="AF343" s="22"/>
      <c r="AG343" s="22"/>
      <c r="AH343" s="20">
        <v>9.6354</v>
      </c>
      <c r="AI343" s="4"/>
      <c r="AJ343" s="22">
        <v>9.6354</v>
      </c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4"/>
      <c r="BA343" s="4"/>
      <c r="BB343" s="4"/>
      <c r="BC343" s="22"/>
      <c r="BD343" s="22"/>
      <c r="BE343" s="22"/>
      <c r="BF343" s="22">
        <v>85.7663</v>
      </c>
      <c r="BG343" s="22">
        <v>53.65032</v>
      </c>
      <c r="BH343" s="22"/>
      <c r="BI343" s="22"/>
      <c r="BJ343" s="22"/>
      <c r="BK343" s="22"/>
      <c r="BL343" s="22"/>
      <c r="BM343" s="22"/>
      <c r="BN343" s="22"/>
      <c r="BO343" s="4"/>
      <c r="BP343" s="4"/>
      <c r="BQ343" s="4"/>
      <c r="BR343" s="4"/>
      <c r="BS343" s="4"/>
      <c r="BT343" s="22"/>
      <c r="BU343" s="24"/>
    </row>
    <row r="344" spans="1:73" ht="73.5" customHeight="1" outlineLevel="2">
      <c r="A344" s="26" t="s">
        <v>240</v>
      </c>
      <c r="B344" s="26" t="s">
        <v>695</v>
      </c>
      <c r="C344" s="39">
        <f t="shared" si="55"/>
        <v>234.97503999999998</v>
      </c>
      <c r="D344" s="1">
        <f t="shared" si="56"/>
        <v>33.91068</v>
      </c>
      <c r="E344" s="1">
        <f t="shared" si="57"/>
        <v>201.06436</v>
      </c>
      <c r="F344" s="22"/>
      <c r="G344" s="22"/>
      <c r="H344" s="22"/>
      <c r="I344" s="22"/>
      <c r="J344" s="22"/>
      <c r="K344" s="22"/>
      <c r="L344" s="22"/>
      <c r="M344" s="2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22"/>
      <c r="AA344" s="22"/>
      <c r="AB344" s="4"/>
      <c r="AC344" s="4"/>
      <c r="AD344" s="22"/>
      <c r="AE344" s="22"/>
      <c r="AF344" s="22"/>
      <c r="AG344" s="22"/>
      <c r="AH344" s="20"/>
      <c r="AI344" s="4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>
        <v>79.9675</v>
      </c>
      <c r="AX344" s="22">
        <v>99.84</v>
      </c>
      <c r="AY344" s="22"/>
      <c r="AZ344" s="4"/>
      <c r="BA344" s="4"/>
      <c r="BB344" s="4"/>
      <c r="BC344" s="22"/>
      <c r="BD344" s="22"/>
      <c r="BE344" s="22"/>
      <c r="BF344" s="22">
        <v>33.91068</v>
      </c>
      <c r="BG344" s="22">
        <v>21.25686</v>
      </c>
      <c r="BH344" s="22"/>
      <c r="BI344" s="22"/>
      <c r="BJ344" s="22"/>
      <c r="BK344" s="22"/>
      <c r="BL344" s="22"/>
      <c r="BM344" s="22"/>
      <c r="BN344" s="22"/>
      <c r="BO344" s="4"/>
      <c r="BP344" s="4"/>
      <c r="BQ344" s="4"/>
      <c r="BR344" s="4"/>
      <c r="BS344" s="4"/>
      <c r="BT344" s="22"/>
      <c r="BU344" s="24"/>
    </row>
    <row r="345" spans="1:73" ht="73.5" customHeight="1" outlineLevel="2">
      <c r="A345" s="46" t="s">
        <v>240</v>
      </c>
      <c r="B345" s="26" t="s">
        <v>696</v>
      </c>
      <c r="C345" s="39">
        <f t="shared" si="55"/>
        <v>2595.4212</v>
      </c>
      <c r="D345" s="1">
        <f t="shared" si="56"/>
        <v>728.7257500000001</v>
      </c>
      <c r="E345" s="1">
        <f t="shared" si="57"/>
        <v>1866.6954500000002</v>
      </c>
      <c r="F345" s="22"/>
      <c r="G345" s="22"/>
      <c r="H345" s="22"/>
      <c r="I345" s="22"/>
      <c r="J345" s="22">
        <v>98.45734</v>
      </c>
      <c r="K345" s="22">
        <v>36.62072</v>
      </c>
      <c r="L345" s="22"/>
      <c r="M345" s="2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22">
        <v>22.58853</v>
      </c>
      <c r="AA345" s="22">
        <v>39.1635</v>
      </c>
      <c r="AB345" s="4">
        <v>73.21581</v>
      </c>
      <c r="AC345" s="4">
        <v>36.36225</v>
      </c>
      <c r="AD345" s="22"/>
      <c r="AE345" s="22"/>
      <c r="AF345" s="22"/>
      <c r="AG345" s="22"/>
      <c r="AH345" s="20">
        <f>91.5363+91.07535</f>
        <v>182.61165</v>
      </c>
      <c r="AI345" s="4">
        <v>91.07535</v>
      </c>
      <c r="AJ345" s="22">
        <v>91.5363</v>
      </c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>
        <v>38.18</v>
      </c>
      <c r="AX345" s="22">
        <v>757.12</v>
      </c>
      <c r="AY345" s="22"/>
      <c r="AZ345" s="4"/>
      <c r="BA345" s="4"/>
      <c r="BB345" s="4"/>
      <c r="BC345" s="22"/>
      <c r="BD345" s="22">
        <v>403.78272</v>
      </c>
      <c r="BE345" s="22">
        <v>37.5</v>
      </c>
      <c r="BF345" s="22">
        <v>534.46407</v>
      </c>
      <c r="BG345" s="22">
        <v>335.35461</v>
      </c>
      <c r="BH345" s="22"/>
      <c r="BI345" s="22"/>
      <c r="BJ345" s="22"/>
      <c r="BK345" s="22"/>
      <c r="BL345" s="22"/>
      <c r="BM345" s="22"/>
      <c r="BN345" s="22"/>
      <c r="BO345" s="4"/>
      <c r="BP345" s="4"/>
      <c r="BQ345" s="4"/>
      <c r="BR345" s="4"/>
      <c r="BS345" s="4"/>
      <c r="BT345" s="22"/>
      <c r="BU345" s="24"/>
    </row>
    <row r="346" spans="1:73" ht="73.5" customHeight="1" outlineLevel="2">
      <c r="A346" s="46" t="s">
        <v>240</v>
      </c>
      <c r="B346" s="26" t="s">
        <v>697</v>
      </c>
      <c r="C346" s="39">
        <f t="shared" si="55"/>
        <v>428.00597</v>
      </c>
      <c r="D346" s="1">
        <f t="shared" si="56"/>
        <v>232.82002</v>
      </c>
      <c r="E346" s="1">
        <f t="shared" si="57"/>
        <v>195.18595</v>
      </c>
      <c r="F346" s="22"/>
      <c r="G346" s="22"/>
      <c r="H346" s="22"/>
      <c r="I346" s="22"/>
      <c r="J346" s="22"/>
      <c r="K346" s="22"/>
      <c r="L346" s="22"/>
      <c r="M346" s="2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22"/>
      <c r="AA346" s="22"/>
      <c r="AB346" s="4">
        <v>46.78708</v>
      </c>
      <c r="AC346" s="4">
        <v>23.30913</v>
      </c>
      <c r="AD346" s="22"/>
      <c r="AE346" s="22"/>
      <c r="AF346" s="22"/>
      <c r="AG346" s="22"/>
      <c r="AH346" s="20"/>
      <c r="AI346" s="4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>
        <v>63.49463</v>
      </c>
      <c r="AZ346" s="4">
        <v>94.99213</v>
      </c>
      <c r="BA346" s="4"/>
      <c r="BB346" s="4"/>
      <c r="BC346" s="22"/>
      <c r="BD346" s="22"/>
      <c r="BE346" s="22"/>
      <c r="BF346" s="22">
        <v>122.53831</v>
      </c>
      <c r="BG346" s="22">
        <v>76.88469</v>
      </c>
      <c r="BH346" s="22"/>
      <c r="BI346" s="22"/>
      <c r="BJ346" s="22"/>
      <c r="BK346" s="22"/>
      <c r="BL346" s="22"/>
      <c r="BM346" s="22"/>
      <c r="BN346" s="22"/>
      <c r="BO346" s="4"/>
      <c r="BP346" s="4"/>
      <c r="BQ346" s="4"/>
      <c r="BR346" s="4"/>
      <c r="BS346" s="4"/>
      <c r="BT346" s="22"/>
      <c r="BU346" s="24"/>
    </row>
    <row r="347" spans="1:73" ht="73.5" customHeight="1" outlineLevel="2">
      <c r="A347" s="46" t="s">
        <v>240</v>
      </c>
      <c r="B347" s="26" t="s">
        <v>509</v>
      </c>
      <c r="C347" s="39">
        <f t="shared" si="55"/>
        <v>174.86629</v>
      </c>
      <c r="D347" s="1">
        <f t="shared" si="56"/>
        <v>23.99602</v>
      </c>
      <c r="E347" s="1">
        <f t="shared" si="57"/>
        <v>150.87027</v>
      </c>
      <c r="F347" s="22"/>
      <c r="G347" s="22"/>
      <c r="H347" s="22"/>
      <c r="I347" s="22"/>
      <c r="J347" s="22"/>
      <c r="K347" s="22"/>
      <c r="L347" s="22"/>
      <c r="M347" s="2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22"/>
      <c r="AA347" s="22"/>
      <c r="AB347" s="4"/>
      <c r="AC347" s="4"/>
      <c r="AD347" s="22"/>
      <c r="AE347" s="22"/>
      <c r="AF347" s="22"/>
      <c r="AG347" s="22"/>
      <c r="AH347" s="20"/>
      <c r="AI347" s="4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>
        <v>36</v>
      </c>
      <c r="AX347" s="22">
        <v>99.84</v>
      </c>
      <c r="AY347" s="22"/>
      <c r="AZ347" s="4"/>
      <c r="BA347" s="4"/>
      <c r="BB347" s="4"/>
      <c r="BC347" s="22"/>
      <c r="BD347" s="22"/>
      <c r="BE347" s="22"/>
      <c r="BF347" s="22">
        <v>23.99602</v>
      </c>
      <c r="BG347" s="22">
        <v>15.03027</v>
      </c>
      <c r="BH347" s="22"/>
      <c r="BI347" s="22"/>
      <c r="BJ347" s="22"/>
      <c r="BK347" s="22"/>
      <c r="BL347" s="22"/>
      <c r="BM347" s="22"/>
      <c r="BN347" s="22"/>
      <c r="BO347" s="4"/>
      <c r="BP347" s="4"/>
      <c r="BQ347" s="4"/>
      <c r="BR347" s="4"/>
      <c r="BS347" s="4"/>
      <c r="BT347" s="22"/>
      <c r="BU347" s="24"/>
    </row>
    <row r="348" spans="1:73" ht="73.5" customHeight="1" outlineLevel="2">
      <c r="A348" s="46" t="s">
        <v>240</v>
      </c>
      <c r="B348" s="26" t="s">
        <v>122</v>
      </c>
      <c r="C348" s="39">
        <f t="shared" si="55"/>
        <v>280.34535000000005</v>
      </c>
      <c r="D348" s="1">
        <f t="shared" si="56"/>
        <v>176.22957000000002</v>
      </c>
      <c r="E348" s="1">
        <f t="shared" si="57"/>
        <v>104.11578</v>
      </c>
      <c r="F348" s="22"/>
      <c r="G348" s="22"/>
      <c r="H348" s="22"/>
      <c r="I348" s="22"/>
      <c r="J348" s="22"/>
      <c r="K348" s="22"/>
      <c r="L348" s="22"/>
      <c r="M348" s="2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22"/>
      <c r="AA348" s="22"/>
      <c r="AB348" s="4">
        <v>31.88633</v>
      </c>
      <c r="AC348" s="4">
        <v>13.98548</v>
      </c>
      <c r="AD348" s="22"/>
      <c r="AE348" s="22"/>
      <c r="AF348" s="22"/>
      <c r="AG348" s="22"/>
      <c r="AH348" s="20"/>
      <c r="AI348" s="4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4"/>
      <c r="BA348" s="4"/>
      <c r="BB348" s="4"/>
      <c r="BC348" s="22"/>
      <c r="BD348" s="22"/>
      <c r="BE348" s="22"/>
      <c r="BF348" s="22">
        <f>151.81084-7.4676</f>
        <v>144.34324</v>
      </c>
      <c r="BG348" s="22">
        <f>94.8195-4.6892</f>
        <v>90.1303</v>
      </c>
      <c r="BH348" s="22"/>
      <c r="BI348" s="22"/>
      <c r="BJ348" s="22"/>
      <c r="BK348" s="22"/>
      <c r="BL348" s="22"/>
      <c r="BM348" s="22"/>
      <c r="BN348" s="22"/>
      <c r="BO348" s="4"/>
      <c r="BP348" s="4"/>
      <c r="BQ348" s="4"/>
      <c r="BR348" s="4"/>
      <c r="BS348" s="4"/>
      <c r="BT348" s="22"/>
      <c r="BU348" s="24"/>
    </row>
    <row r="349" spans="1:73" ht="73.5" customHeight="1" outlineLevel="2">
      <c r="A349" s="46" t="s">
        <v>240</v>
      </c>
      <c r="B349" s="26" t="s">
        <v>775</v>
      </c>
      <c r="C349" s="39">
        <f t="shared" si="55"/>
        <v>77.9936</v>
      </c>
      <c r="D349" s="1">
        <f t="shared" si="56"/>
        <v>49.73522</v>
      </c>
      <c r="E349" s="1">
        <f t="shared" si="57"/>
        <v>28.25838</v>
      </c>
      <c r="F349" s="22"/>
      <c r="G349" s="22"/>
      <c r="H349" s="22"/>
      <c r="I349" s="22"/>
      <c r="J349" s="22"/>
      <c r="K349" s="22"/>
      <c r="L349" s="22"/>
      <c r="M349" s="2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22"/>
      <c r="AA349" s="22"/>
      <c r="AB349" s="4">
        <v>41.79418</v>
      </c>
      <c r="AC349" s="4">
        <v>23.30913</v>
      </c>
      <c r="AD349" s="22"/>
      <c r="AE349" s="22"/>
      <c r="AF349" s="22"/>
      <c r="AG349" s="22"/>
      <c r="AH349" s="20"/>
      <c r="AI349" s="4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4"/>
      <c r="BA349" s="4"/>
      <c r="BB349" s="4"/>
      <c r="BC349" s="22"/>
      <c r="BD349" s="22"/>
      <c r="BE349" s="22"/>
      <c r="BF349" s="22">
        <v>7.94104</v>
      </c>
      <c r="BG349" s="22">
        <v>4.94925</v>
      </c>
      <c r="BH349" s="22"/>
      <c r="BI349" s="22"/>
      <c r="BJ349" s="22"/>
      <c r="BK349" s="22"/>
      <c r="BL349" s="22"/>
      <c r="BM349" s="22"/>
      <c r="BN349" s="22"/>
      <c r="BO349" s="4"/>
      <c r="BP349" s="4"/>
      <c r="BQ349" s="4"/>
      <c r="BR349" s="4"/>
      <c r="BS349" s="4"/>
      <c r="BT349" s="22"/>
      <c r="BU349" s="24"/>
    </row>
    <row r="350" spans="1:73" ht="73.5" customHeight="1" outlineLevel="2">
      <c r="A350" s="46" t="s">
        <v>240</v>
      </c>
      <c r="B350" s="26" t="s">
        <v>704</v>
      </c>
      <c r="C350" s="39">
        <f t="shared" si="55"/>
        <v>59.252219999999994</v>
      </c>
      <c r="D350" s="1">
        <f t="shared" si="56"/>
        <v>36.39942</v>
      </c>
      <c r="E350" s="1">
        <f t="shared" si="57"/>
        <v>22.8528</v>
      </c>
      <c r="F350" s="22"/>
      <c r="G350" s="22"/>
      <c r="H350" s="22"/>
      <c r="I350" s="22"/>
      <c r="J350" s="22"/>
      <c r="K350" s="22"/>
      <c r="L350" s="22"/>
      <c r="M350" s="2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22"/>
      <c r="AA350" s="22"/>
      <c r="AB350" s="4"/>
      <c r="AC350" s="4"/>
      <c r="AD350" s="22"/>
      <c r="AE350" s="22"/>
      <c r="AF350" s="22"/>
      <c r="AG350" s="22"/>
      <c r="AH350" s="20"/>
      <c r="AI350" s="4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4"/>
      <c r="BA350" s="4"/>
      <c r="BB350" s="4"/>
      <c r="BC350" s="22"/>
      <c r="BD350" s="22"/>
      <c r="BE350" s="22"/>
      <c r="BF350" s="22">
        <v>36.39942</v>
      </c>
      <c r="BG350" s="22">
        <v>22.8528</v>
      </c>
      <c r="BH350" s="22"/>
      <c r="BI350" s="22"/>
      <c r="BJ350" s="22"/>
      <c r="BK350" s="22"/>
      <c r="BL350" s="22"/>
      <c r="BM350" s="22"/>
      <c r="BN350" s="22"/>
      <c r="BO350" s="4"/>
      <c r="BP350" s="4"/>
      <c r="BQ350" s="4"/>
      <c r="BR350" s="4"/>
      <c r="BS350" s="4"/>
      <c r="BT350" s="22"/>
      <c r="BU350" s="24"/>
    </row>
    <row r="351" spans="1:73" ht="73.5" customHeight="1" outlineLevel="2" thickBot="1">
      <c r="A351" s="46" t="s">
        <v>240</v>
      </c>
      <c r="B351" s="26" t="s">
        <v>472</v>
      </c>
      <c r="C351" s="39">
        <f t="shared" si="55"/>
        <v>4.41169</v>
      </c>
      <c r="D351" s="1">
        <f t="shared" si="56"/>
        <v>4.19657</v>
      </c>
      <c r="E351" s="1">
        <f t="shared" si="57"/>
        <v>0.21512</v>
      </c>
      <c r="F351" s="22"/>
      <c r="G351" s="22"/>
      <c r="H351" s="22"/>
      <c r="I351" s="22"/>
      <c r="J351" s="22"/>
      <c r="K351" s="22"/>
      <c r="L351" s="22"/>
      <c r="M351" s="22"/>
      <c r="N351" s="4">
        <v>4.19657</v>
      </c>
      <c r="O351" s="4">
        <v>0.21512</v>
      </c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22"/>
      <c r="AA351" s="22"/>
      <c r="AB351" s="4"/>
      <c r="AC351" s="4"/>
      <c r="AD351" s="22"/>
      <c r="AE351" s="22"/>
      <c r="AF351" s="22"/>
      <c r="AG351" s="22"/>
      <c r="AH351" s="20"/>
      <c r="AI351" s="4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4"/>
      <c r="BA351" s="4"/>
      <c r="BB351" s="4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4"/>
      <c r="BP351" s="4"/>
      <c r="BQ351" s="4"/>
      <c r="BR351" s="4"/>
      <c r="BS351" s="4"/>
      <c r="BT351" s="22"/>
      <c r="BU351" s="24"/>
    </row>
    <row r="352" spans="1:74" s="35" customFormat="1" ht="73.5" customHeight="1" outlineLevel="1" thickBot="1">
      <c r="A352" s="29" t="s">
        <v>423</v>
      </c>
      <c r="B352" s="54"/>
      <c r="C352" s="31">
        <f aca="true" t="shared" si="58" ref="C352:BN352">SUBTOTAL(9,C340:C351)</f>
        <v>28543.319590000003</v>
      </c>
      <c r="D352" s="31">
        <f t="shared" si="58"/>
        <v>5770.167039999998</v>
      </c>
      <c r="E352" s="31">
        <f t="shared" si="58"/>
        <v>22773.15255</v>
      </c>
      <c r="F352" s="31">
        <f t="shared" si="58"/>
        <v>4.23467</v>
      </c>
      <c r="G352" s="31">
        <f t="shared" si="58"/>
        <v>1.83648</v>
      </c>
      <c r="H352" s="31">
        <f t="shared" si="58"/>
        <v>0</v>
      </c>
      <c r="I352" s="31">
        <f t="shared" si="58"/>
        <v>0</v>
      </c>
      <c r="J352" s="31">
        <f t="shared" si="58"/>
        <v>98.45734</v>
      </c>
      <c r="K352" s="31">
        <f t="shared" si="58"/>
        <v>36.62072</v>
      </c>
      <c r="L352" s="31">
        <f t="shared" si="58"/>
        <v>0</v>
      </c>
      <c r="M352" s="31">
        <f t="shared" si="58"/>
        <v>0</v>
      </c>
      <c r="N352" s="31">
        <f t="shared" si="58"/>
        <v>4.19657</v>
      </c>
      <c r="O352" s="31">
        <f t="shared" si="58"/>
        <v>0.21512</v>
      </c>
      <c r="P352" s="31">
        <f t="shared" si="58"/>
        <v>0</v>
      </c>
      <c r="Q352" s="31">
        <f t="shared" si="58"/>
        <v>0</v>
      </c>
      <c r="R352" s="31">
        <f t="shared" si="58"/>
        <v>0</v>
      </c>
      <c r="S352" s="31">
        <f t="shared" si="58"/>
        <v>0</v>
      </c>
      <c r="T352" s="31">
        <f t="shared" si="58"/>
        <v>0</v>
      </c>
      <c r="U352" s="31">
        <f t="shared" si="58"/>
        <v>0</v>
      </c>
      <c r="V352" s="31">
        <f t="shared" si="58"/>
        <v>0</v>
      </c>
      <c r="W352" s="31">
        <f t="shared" si="58"/>
        <v>0</v>
      </c>
      <c r="X352" s="31">
        <f t="shared" si="58"/>
        <v>0</v>
      </c>
      <c r="Y352" s="31">
        <f t="shared" si="58"/>
        <v>0</v>
      </c>
      <c r="Z352" s="31">
        <f t="shared" si="58"/>
        <v>270.09699</v>
      </c>
      <c r="AA352" s="31">
        <f t="shared" si="58"/>
        <v>496.26899999999995</v>
      </c>
      <c r="AB352" s="31">
        <f t="shared" si="58"/>
        <v>1132.52932</v>
      </c>
      <c r="AC352" s="31">
        <f t="shared" si="58"/>
        <v>506.74053</v>
      </c>
      <c r="AD352" s="31">
        <f t="shared" si="58"/>
        <v>0</v>
      </c>
      <c r="AE352" s="31">
        <f t="shared" si="58"/>
        <v>0</v>
      </c>
      <c r="AF352" s="31">
        <f t="shared" si="58"/>
        <v>0</v>
      </c>
      <c r="AG352" s="31">
        <f t="shared" si="58"/>
        <v>0</v>
      </c>
      <c r="AH352" s="31">
        <f t="shared" si="58"/>
        <v>1098.16158</v>
      </c>
      <c r="AI352" s="31">
        <f t="shared" si="58"/>
        <v>460.9764</v>
      </c>
      <c r="AJ352" s="31">
        <f t="shared" si="58"/>
        <v>637.1851800000001</v>
      </c>
      <c r="AK352" s="31">
        <f t="shared" si="58"/>
        <v>0</v>
      </c>
      <c r="AL352" s="31">
        <f t="shared" si="58"/>
        <v>5970.13523</v>
      </c>
      <c r="AM352" s="31">
        <f t="shared" si="58"/>
        <v>0</v>
      </c>
      <c r="AN352" s="31">
        <f t="shared" si="58"/>
        <v>0</v>
      </c>
      <c r="AO352" s="31">
        <f t="shared" si="58"/>
        <v>0</v>
      </c>
      <c r="AP352" s="31">
        <f t="shared" si="58"/>
        <v>0</v>
      </c>
      <c r="AQ352" s="31">
        <f t="shared" si="58"/>
        <v>0</v>
      </c>
      <c r="AR352" s="31">
        <f t="shared" si="58"/>
        <v>0</v>
      </c>
      <c r="AS352" s="31">
        <f t="shared" si="58"/>
        <v>0</v>
      </c>
      <c r="AT352" s="31">
        <f t="shared" si="58"/>
        <v>0</v>
      </c>
      <c r="AU352" s="31">
        <f t="shared" si="58"/>
        <v>0</v>
      </c>
      <c r="AV352" s="31">
        <f t="shared" si="58"/>
        <v>0</v>
      </c>
      <c r="AW352" s="31">
        <f t="shared" si="58"/>
        <v>154.1475</v>
      </c>
      <c r="AX352" s="31">
        <f t="shared" si="58"/>
        <v>956.8000000000001</v>
      </c>
      <c r="AY352" s="31">
        <f t="shared" si="58"/>
        <v>519.1506</v>
      </c>
      <c r="AZ352" s="31">
        <f t="shared" si="58"/>
        <v>507.01592000000005</v>
      </c>
      <c r="BA352" s="31">
        <f t="shared" si="58"/>
        <v>0</v>
      </c>
      <c r="BB352" s="31">
        <f t="shared" si="58"/>
        <v>0</v>
      </c>
      <c r="BC352" s="31">
        <f t="shared" si="58"/>
        <v>0</v>
      </c>
      <c r="BD352" s="31">
        <f t="shared" si="58"/>
        <v>10318.224249999997</v>
      </c>
      <c r="BE352" s="31">
        <f t="shared" si="58"/>
        <v>387.39377</v>
      </c>
      <c r="BF352" s="31">
        <f t="shared" si="58"/>
        <v>3741.5015500000004</v>
      </c>
      <c r="BG352" s="31">
        <f t="shared" si="58"/>
        <v>2339.5924499999996</v>
      </c>
      <c r="BH352" s="31">
        <f t="shared" si="58"/>
        <v>0</v>
      </c>
      <c r="BI352" s="31">
        <f t="shared" si="58"/>
        <v>0</v>
      </c>
      <c r="BJ352" s="31">
        <f t="shared" si="58"/>
        <v>0</v>
      </c>
      <c r="BK352" s="31">
        <f t="shared" si="58"/>
        <v>0</v>
      </c>
      <c r="BL352" s="31">
        <f t="shared" si="58"/>
        <v>0</v>
      </c>
      <c r="BM352" s="31">
        <f t="shared" si="58"/>
        <v>0</v>
      </c>
      <c r="BN352" s="31">
        <f t="shared" si="58"/>
        <v>0</v>
      </c>
      <c r="BO352" s="31">
        <f aca="true" t="shared" si="59" ref="BO352:BT352">SUBTOTAL(9,BO340:BO351)</f>
        <v>0</v>
      </c>
      <c r="BP352" s="31">
        <f t="shared" si="59"/>
        <v>0</v>
      </c>
      <c r="BQ352" s="31">
        <f t="shared" si="59"/>
        <v>0</v>
      </c>
      <c r="BR352" s="31">
        <f t="shared" si="59"/>
        <v>0</v>
      </c>
      <c r="BS352" s="32">
        <f t="shared" si="59"/>
        <v>0</v>
      </c>
      <c r="BT352" s="32">
        <f t="shared" si="59"/>
        <v>0</v>
      </c>
      <c r="BU352" s="33"/>
      <c r="BV352" s="34"/>
    </row>
    <row r="353" spans="1:73" ht="73.5" customHeight="1" outlineLevel="2">
      <c r="A353" s="36" t="s">
        <v>424</v>
      </c>
      <c r="B353" s="52" t="s">
        <v>347</v>
      </c>
      <c r="C353" s="39">
        <f>D353+E353</f>
        <v>6008.42911</v>
      </c>
      <c r="D353" s="1">
        <f aca="true" t="shared" si="60" ref="D353:D378">F353+J353+N353+R353+T353+Z353+AB353+AD353+AF353+AM353+AO353+AT353+AY353+BF353+BO353+BS353+H353+V353+X353+BQ353+AR353+BH353</f>
        <v>1340.79439</v>
      </c>
      <c r="E353" s="1">
        <f aca="true" t="shared" si="61" ref="E353:E378">G353+I353+K353+L353+M353+O353+P353+Q353+S353+U353+W353+Y353+AA353+AC353+AE353+AG353+AH353+AK353+AL353+AN353+AP353+AQ353+AS353+AU353+AV353+AW353+AX353+AZ353+BA353+BB353+BC353+BD353+BE353+BG353+BI353+BJ353+BK353+BL353+BM353+BN353+BU353+BP353+BR353+BT353</f>
        <v>4667.63472</v>
      </c>
      <c r="F353" s="40"/>
      <c r="G353" s="40"/>
      <c r="H353" s="40"/>
      <c r="I353" s="40"/>
      <c r="J353" s="40"/>
      <c r="K353" s="40"/>
      <c r="L353" s="40"/>
      <c r="M353" s="40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0">
        <v>94.5</v>
      </c>
      <c r="AA353" s="40">
        <v>50.139</v>
      </c>
      <c r="AB353" s="42">
        <v>236.15759</v>
      </c>
      <c r="AC353" s="41">
        <v>124.93695</v>
      </c>
      <c r="AD353" s="40"/>
      <c r="AE353" s="40"/>
      <c r="AF353" s="40"/>
      <c r="AG353" s="40"/>
      <c r="AH353" s="43">
        <f>199.93455+168.28375</f>
        <v>368.2183</v>
      </c>
      <c r="AI353" s="41">
        <v>168.28375</v>
      </c>
      <c r="AJ353" s="40">
        <v>199.93455</v>
      </c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>
        <v>68.31</v>
      </c>
      <c r="AX353" s="40">
        <v>1639.04</v>
      </c>
      <c r="AY353" s="40"/>
      <c r="AZ353" s="41"/>
      <c r="BA353" s="41"/>
      <c r="BB353" s="41"/>
      <c r="BC353" s="40"/>
      <c r="BD353" s="40"/>
      <c r="BE353" s="40">
        <v>1785.12552</v>
      </c>
      <c r="BF353" s="40">
        <v>1010.1368</v>
      </c>
      <c r="BG353" s="40">
        <f>445.60842+186.25653</f>
        <v>631.86495</v>
      </c>
      <c r="BH353" s="40"/>
      <c r="BI353" s="40"/>
      <c r="BJ353" s="40"/>
      <c r="BK353" s="40"/>
      <c r="BL353" s="40"/>
      <c r="BM353" s="40"/>
      <c r="BN353" s="40"/>
      <c r="BO353" s="41"/>
      <c r="BP353" s="41"/>
      <c r="BQ353" s="41"/>
      <c r="BR353" s="41"/>
      <c r="BS353" s="4"/>
      <c r="BT353" s="22"/>
      <c r="BU353" s="24"/>
    </row>
    <row r="354" spans="1:73" ht="73.5" customHeight="1" outlineLevel="2">
      <c r="A354" s="46" t="s">
        <v>424</v>
      </c>
      <c r="B354" s="26" t="s">
        <v>274</v>
      </c>
      <c r="C354" s="39">
        <f aca="true" t="shared" si="62" ref="C354:C378">D354+E354</f>
        <v>599.2766700000001</v>
      </c>
      <c r="D354" s="1">
        <f t="shared" si="60"/>
        <v>184.11031</v>
      </c>
      <c r="E354" s="1">
        <f t="shared" si="61"/>
        <v>415.16636000000005</v>
      </c>
      <c r="F354" s="22"/>
      <c r="G354" s="22"/>
      <c r="H354" s="22"/>
      <c r="I354" s="22"/>
      <c r="J354" s="22"/>
      <c r="K354" s="22"/>
      <c r="L354" s="22"/>
      <c r="M354" s="2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22"/>
      <c r="AA354" s="22"/>
      <c r="AB354" s="23">
        <v>72.88409</v>
      </c>
      <c r="AC354" s="4">
        <v>34.9637</v>
      </c>
      <c r="AD354" s="22"/>
      <c r="AE354" s="22"/>
      <c r="AF354" s="22"/>
      <c r="AG354" s="22"/>
      <c r="AH354" s="20"/>
      <c r="AI354" s="4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>
        <v>36</v>
      </c>
      <c r="AX354" s="22">
        <v>274.56</v>
      </c>
      <c r="AY354" s="22"/>
      <c r="AZ354" s="4"/>
      <c r="BA354" s="4"/>
      <c r="BB354" s="4"/>
      <c r="BC354" s="22"/>
      <c r="BD354" s="22"/>
      <c r="BE354" s="22"/>
      <c r="BF354" s="22">
        <v>111.22622</v>
      </c>
      <c r="BG354" s="22">
        <v>69.64266</v>
      </c>
      <c r="BH354" s="22"/>
      <c r="BI354" s="22"/>
      <c r="BJ354" s="22"/>
      <c r="BK354" s="22"/>
      <c r="BL354" s="22"/>
      <c r="BM354" s="22"/>
      <c r="BN354" s="22"/>
      <c r="BO354" s="4"/>
      <c r="BP354" s="4"/>
      <c r="BQ354" s="4"/>
      <c r="BR354" s="4"/>
      <c r="BS354" s="4"/>
      <c r="BT354" s="22"/>
      <c r="BU354" s="24"/>
    </row>
    <row r="355" spans="1:73" ht="73.5" customHeight="1" outlineLevel="2">
      <c r="A355" s="46" t="s">
        <v>424</v>
      </c>
      <c r="B355" s="26" t="s">
        <v>290</v>
      </c>
      <c r="C355" s="39">
        <f t="shared" si="62"/>
        <v>2347.66685</v>
      </c>
      <c r="D355" s="1">
        <f t="shared" si="60"/>
        <v>1186.0318</v>
      </c>
      <c r="E355" s="1">
        <f t="shared" si="61"/>
        <v>1161.63505</v>
      </c>
      <c r="F355" s="22"/>
      <c r="G355" s="22"/>
      <c r="H355" s="22">
        <v>6.28623</v>
      </c>
      <c r="I355" s="22">
        <v>1.36356</v>
      </c>
      <c r="J355" s="22">
        <v>392.81814</v>
      </c>
      <c r="K355" s="22">
        <v>128.57156</v>
      </c>
      <c r="L355" s="22">
        <v>186.13738</v>
      </c>
      <c r="M355" s="22"/>
      <c r="N355" s="4"/>
      <c r="O355" s="4"/>
      <c r="P355" s="4"/>
      <c r="Q355" s="4"/>
      <c r="R355" s="4">
        <v>49.71779</v>
      </c>
      <c r="S355" s="4">
        <v>24.84538</v>
      </c>
      <c r="T355" s="4"/>
      <c r="U355" s="4"/>
      <c r="V355" s="4"/>
      <c r="W355" s="4"/>
      <c r="X355" s="4"/>
      <c r="Y355" s="4"/>
      <c r="Z355" s="22">
        <v>5.79193</v>
      </c>
      <c r="AA355" s="22">
        <v>11.88</v>
      </c>
      <c r="AB355" s="23">
        <v>38.00699</v>
      </c>
      <c r="AC355" s="4">
        <v>18.64731</v>
      </c>
      <c r="AD355" s="22"/>
      <c r="AE355" s="22"/>
      <c r="AF355" s="22"/>
      <c r="AG355" s="22"/>
      <c r="AH355" s="20">
        <f>52.9875+62.6301+73.0756</f>
        <v>188.6932</v>
      </c>
      <c r="AI355" s="4">
        <v>73.0756</v>
      </c>
      <c r="AJ355" s="22">
        <v>115.6176</v>
      </c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>
        <v>288.32158</v>
      </c>
      <c r="AZ355" s="4">
        <v>293.41689</v>
      </c>
      <c r="BA355" s="4"/>
      <c r="BB355" s="4"/>
      <c r="BC355" s="22"/>
      <c r="BD355" s="22">
        <v>54.84325</v>
      </c>
      <c r="BE355" s="22"/>
      <c r="BF355" s="22">
        <v>405.08914</v>
      </c>
      <c r="BG355" s="22">
        <v>253.23652</v>
      </c>
      <c r="BH355" s="22"/>
      <c r="BI355" s="22"/>
      <c r="BJ355" s="22"/>
      <c r="BK355" s="22"/>
      <c r="BL355" s="22"/>
      <c r="BM355" s="22"/>
      <c r="BN355" s="22"/>
      <c r="BO355" s="4"/>
      <c r="BP355" s="4"/>
      <c r="BQ355" s="4"/>
      <c r="BR355" s="4"/>
      <c r="BS355" s="4"/>
      <c r="BT355" s="22"/>
      <c r="BU355" s="24"/>
    </row>
    <row r="356" spans="1:73" ht="73.5" customHeight="1" outlineLevel="2">
      <c r="A356" s="46" t="s">
        <v>424</v>
      </c>
      <c r="B356" s="26" t="s">
        <v>142</v>
      </c>
      <c r="C356" s="39">
        <f t="shared" si="62"/>
        <v>3183.5016800000003</v>
      </c>
      <c r="D356" s="1">
        <f t="shared" si="60"/>
        <v>1611.4917</v>
      </c>
      <c r="E356" s="1">
        <f t="shared" si="61"/>
        <v>1572.00998</v>
      </c>
      <c r="F356" s="22"/>
      <c r="G356" s="22"/>
      <c r="H356" s="22"/>
      <c r="I356" s="22"/>
      <c r="J356" s="22">
        <v>13.96196</v>
      </c>
      <c r="K356" s="22">
        <v>2.89358</v>
      </c>
      <c r="L356" s="22"/>
      <c r="M356" s="2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22">
        <v>274.06368</v>
      </c>
      <c r="AA356" s="22">
        <v>168.7365</v>
      </c>
      <c r="AB356" s="23">
        <v>214.0247</v>
      </c>
      <c r="AC356" s="4">
        <v>110.71838</v>
      </c>
      <c r="AD356" s="22"/>
      <c r="AE356" s="22"/>
      <c r="AF356" s="22"/>
      <c r="AG356" s="22"/>
      <c r="AH356" s="20">
        <f>269.7912+79.8114+245.49215</f>
        <v>595.09475</v>
      </c>
      <c r="AI356" s="4">
        <v>325.30355</v>
      </c>
      <c r="AJ356" s="22">
        <v>269.7912</v>
      </c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4"/>
      <c r="BA356" s="4"/>
      <c r="BB356" s="4"/>
      <c r="BC356" s="22"/>
      <c r="BD356" s="22"/>
      <c r="BE356" s="22"/>
      <c r="BF356" s="22">
        <v>1109.44136</v>
      </c>
      <c r="BG356" s="22">
        <v>694.56677</v>
      </c>
      <c r="BH356" s="22"/>
      <c r="BI356" s="22"/>
      <c r="BJ356" s="22"/>
      <c r="BK356" s="22"/>
      <c r="BL356" s="22"/>
      <c r="BM356" s="22"/>
      <c r="BN356" s="22"/>
      <c r="BO356" s="4"/>
      <c r="BP356" s="4"/>
      <c r="BQ356" s="4"/>
      <c r="BR356" s="4"/>
      <c r="BS356" s="4"/>
      <c r="BT356" s="22"/>
      <c r="BU356" s="24"/>
    </row>
    <row r="357" spans="1:73" ht="73.5" customHeight="1" outlineLevel="2">
      <c r="A357" s="26" t="s">
        <v>424</v>
      </c>
      <c r="B357" s="26" t="s">
        <v>777</v>
      </c>
      <c r="C357" s="39">
        <f t="shared" si="62"/>
        <v>219.89481999999998</v>
      </c>
      <c r="D357" s="1">
        <f t="shared" si="60"/>
        <v>98.39656</v>
      </c>
      <c r="E357" s="1">
        <f t="shared" si="61"/>
        <v>121.49825999999999</v>
      </c>
      <c r="F357" s="22"/>
      <c r="G357" s="22"/>
      <c r="H357" s="22"/>
      <c r="I357" s="22"/>
      <c r="J357" s="22"/>
      <c r="K357" s="22"/>
      <c r="L357" s="22"/>
      <c r="M357" s="2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22"/>
      <c r="AA357" s="22"/>
      <c r="AB357" s="4">
        <v>98.39656</v>
      </c>
      <c r="AC357" s="4">
        <v>46.61826</v>
      </c>
      <c r="AD357" s="22"/>
      <c r="AE357" s="22"/>
      <c r="AF357" s="22"/>
      <c r="AG357" s="22"/>
      <c r="AH357" s="20"/>
      <c r="AI357" s="4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>
        <v>74.88</v>
      </c>
      <c r="AY357" s="22"/>
      <c r="AZ357" s="4"/>
      <c r="BA357" s="4"/>
      <c r="BB357" s="4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4"/>
      <c r="BP357" s="4"/>
      <c r="BQ357" s="4"/>
      <c r="BR357" s="4"/>
      <c r="BS357" s="4"/>
      <c r="BT357" s="22"/>
      <c r="BU357" s="24"/>
    </row>
    <row r="358" spans="1:73" ht="73.5" customHeight="1" outlineLevel="2">
      <c r="A358" s="46" t="s">
        <v>424</v>
      </c>
      <c r="B358" s="26" t="s">
        <v>348</v>
      </c>
      <c r="C358" s="39">
        <f t="shared" si="62"/>
        <v>15054.708460000002</v>
      </c>
      <c r="D358" s="1">
        <f t="shared" si="60"/>
        <v>4330.425649999999</v>
      </c>
      <c r="E358" s="1">
        <f t="shared" si="61"/>
        <v>10724.282810000002</v>
      </c>
      <c r="F358" s="22"/>
      <c r="G358" s="22"/>
      <c r="H358" s="22"/>
      <c r="I358" s="22"/>
      <c r="J358" s="22">
        <v>1311.53721</v>
      </c>
      <c r="K358" s="22">
        <v>79.71549</v>
      </c>
      <c r="L358" s="22"/>
      <c r="M358" s="22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22">
        <v>95.56683</v>
      </c>
      <c r="AA358" s="22">
        <v>137.4975</v>
      </c>
      <c r="AB358" s="23">
        <v>700.77451</v>
      </c>
      <c r="AC358" s="4">
        <v>340.54642</v>
      </c>
      <c r="AD358" s="22"/>
      <c r="AE358" s="22"/>
      <c r="AF358" s="22"/>
      <c r="AG358" s="22"/>
      <c r="AH358" s="20">
        <f>252.92925+231.6252</f>
        <v>484.55445</v>
      </c>
      <c r="AI358" s="4">
        <v>231.6252</v>
      </c>
      <c r="AJ358" s="22">
        <v>252.92925</v>
      </c>
      <c r="AK358" s="22"/>
      <c r="AL358" s="22"/>
      <c r="AM358" s="22"/>
      <c r="AN358" s="22"/>
      <c r="AO358" s="22"/>
      <c r="AP358" s="22"/>
      <c r="AQ358" s="22"/>
      <c r="AR358" s="22"/>
      <c r="AS358" s="22"/>
      <c r="AT358" s="22">
        <v>692.21836</v>
      </c>
      <c r="AU358" s="22">
        <v>1610</v>
      </c>
      <c r="AV358" s="22"/>
      <c r="AW358" s="22">
        <v>163.76</v>
      </c>
      <c r="AX358" s="22">
        <v>4650.88</v>
      </c>
      <c r="AY358" s="22"/>
      <c r="AZ358" s="4"/>
      <c r="BA358" s="4"/>
      <c r="BB358" s="4"/>
      <c r="BC358" s="22"/>
      <c r="BD358" s="22">
        <v>1024.78228</v>
      </c>
      <c r="BE358" s="22">
        <v>1276.01696</v>
      </c>
      <c r="BF358" s="22">
        <v>1530.32874</v>
      </c>
      <c r="BG358" s="22">
        <v>956.52971</v>
      </c>
      <c r="BH358" s="22"/>
      <c r="BI358" s="22"/>
      <c r="BJ358" s="22"/>
      <c r="BK358" s="22"/>
      <c r="BL358" s="22"/>
      <c r="BM358" s="22"/>
      <c r="BN358" s="22"/>
      <c r="BO358" s="4"/>
      <c r="BP358" s="4"/>
      <c r="BQ358" s="4"/>
      <c r="BR358" s="4"/>
      <c r="BS358" s="4"/>
      <c r="BT358" s="22"/>
      <c r="BU358" s="24"/>
    </row>
    <row r="359" spans="1:73" ht="73.5" customHeight="1" outlineLevel="2">
      <c r="A359" s="46" t="s">
        <v>424</v>
      </c>
      <c r="B359" s="26" t="s">
        <v>69</v>
      </c>
      <c r="C359" s="39">
        <f t="shared" si="62"/>
        <v>2391.32415</v>
      </c>
      <c r="D359" s="1">
        <f t="shared" si="60"/>
        <v>483.93367</v>
      </c>
      <c r="E359" s="1">
        <f t="shared" si="61"/>
        <v>1907.39048</v>
      </c>
      <c r="F359" s="22"/>
      <c r="G359" s="22"/>
      <c r="H359" s="22"/>
      <c r="I359" s="22"/>
      <c r="J359" s="22">
        <v>190.43189</v>
      </c>
      <c r="K359" s="22">
        <v>75.79571</v>
      </c>
      <c r="L359" s="22"/>
      <c r="M359" s="2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22">
        <v>22.5</v>
      </c>
      <c r="AA359" s="22">
        <v>16.5645</v>
      </c>
      <c r="AB359" s="4">
        <v>49.24699</v>
      </c>
      <c r="AC359" s="4">
        <v>23.30913</v>
      </c>
      <c r="AD359" s="22"/>
      <c r="AE359" s="22"/>
      <c r="AF359" s="22"/>
      <c r="AG359" s="22"/>
      <c r="AH359" s="20">
        <f>45.76815+56.212</f>
        <v>101.98015000000001</v>
      </c>
      <c r="AI359" s="4">
        <v>56.212</v>
      </c>
      <c r="AJ359" s="22">
        <v>45.76815</v>
      </c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>
        <v>39.96</v>
      </c>
      <c r="AX359" s="22">
        <v>341.12</v>
      </c>
      <c r="AY359" s="22"/>
      <c r="AZ359" s="4"/>
      <c r="BA359" s="4"/>
      <c r="BB359" s="4"/>
      <c r="BC359" s="22"/>
      <c r="BD359" s="22">
        <v>38.0016</v>
      </c>
      <c r="BE359" s="22">
        <v>1131.9</v>
      </c>
      <c r="BF359" s="22">
        <v>221.75479</v>
      </c>
      <c r="BG359" s="28">
        <v>138.75939</v>
      </c>
      <c r="BH359" s="28"/>
      <c r="BI359" s="22"/>
      <c r="BJ359" s="22"/>
      <c r="BK359" s="22"/>
      <c r="BL359" s="22"/>
      <c r="BM359" s="22"/>
      <c r="BN359" s="22"/>
      <c r="BO359" s="4"/>
      <c r="BP359" s="4"/>
      <c r="BQ359" s="4"/>
      <c r="BR359" s="4"/>
      <c r="BS359" s="4"/>
      <c r="BT359" s="22"/>
      <c r="BU359" s="24"/>
    </row>
    <row r="360" spans="1:73" ht="73.5" customHeight="1" outlineLevel="2">
      <c r="A360" s="46" t="s">
        <v>424</v>
      </c>
      <c r="B360" s="26" t="s">
        <v>495</v>
      </c>
      <c r="C360" s="39">
        <f t="shared" si="62"/>
        <v>249.6</v>
      </c>
      <c r="D360" s="1">
        <f t="shared" si="60"/>
        <v>0</v>
      </c>
      <c r="E360" s="1">
        <f t="shared" si="61"/>
        <v>249.6</v>
      </c>
      <c r="F360" s="22"/>
      <c r="G360" s="22"/>
      <c r="H360" s="22"/>
      <c r="I360" s="22"/>
      <c r="J360" s="22"/>
      <c r="K360" s="22"/>
      <c r="L360" s="22"/>
      <c r="M360" s="2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22"/>
      <c r="AA360" s="22"/>
      <c r="AB360" s="4"/>
      <c r="AC360" s="4"/>
      <c r="AD360" s="22"/>
      <c r="AE360" s="22"/>
      <c r="AF360" s="22"/>
      <c r="AG360" s="22"/>
      <c r="AH360" s="20"/>
      <c r="AI360" s="4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>
        <v>249.6</v>
      </c>
      <c r="AY360" s="22"/>
      <c r="AZ360" s="4"/>
      <c r="BA360" s="4"/>
      <c r="BB360" s="4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4"/>
      <c r="BP360" s="4"/>
      <c r="BQ360" s="4"/>
      <c r="BR360" s="4"/>
      <c r="BS360" s="4"/>
      <c r="BT360" s="22"/>
      <c r="BU360" s="24"/>
    </row>
    <row r="361" spans="1:73" ht="73.5" customHeight="1" outlineLevel="2">
      <c r="A361" s="46" t="s">
        <v>424</v>
      </c>
      <c r="B361" s="26" t="s">
        <v>291</v>
      </c>
      <c r="C361" s="39">
        <f t="shared" si="62"/>
        <v>9477.16977</v>
      </c>
      <c r="D361" s="1">
        <f t="shared" si="60"/>
        <v>3571.1121700000003</v>
      </c>
      <c r="E361" s="1">
        <f t="shared" si="61"/>
        <v>5906.0576</v>
      </c>
      <c r="F361" s="22"/>
      <c r="G361" s="22"/>
      <c r="H361" s="22"/>
      <c r="I361" s="22"/>
      <c r="J361" s="22">
        <v>647.06773</v>
      </c>
      <c r="K361" s="22">
        <v>249.06741</v>
      </c>
      <c r="L361" s="22">
        <f>141.31602+9.89628</f>
        <v>151.2123</v>
      </c>
      <c r="M361" s="22"/>
      <c r="N361" s="4"/>
      <c r="O361" s="4"/>
      <c r="P361" s="4"/>
      <c r="Q361" s="4"/>
      <c r="R361" s="4">
        <v>488.71351</v>
      </c>
      <c r="S361" s="4">
        <v>578.27697</v>
      </c>
      <c r="T361" s="4"/>
      <c r="U361" s="4"/>
      <c r="V361" s="4"/>
      <c r="W361" s="4"/>
      <c r="X361" s="4"/>
      <c r="Y361" s="4"/>
      <c r="Z361" s="22">
        <v>34</v>
      </c>
      <c r="AA361" s="22">
        <v>115.461</v>
      </c>
      <c r="AB361" s="23">
        <v>596.57665</v>
      </c>
      <c r="AC361" s="4">
        <v>396.25524</v>
      </c>
      <c r="AD361" s="22"/>
      <c r="AE361" s="22"/>
      <c r="AF361" s="22"/>
      <c r="AG361" s="22"/>
      <c r="AH361" s="20">
        <f>330.01245+239.4342+286.7209</f>
        <v>856.1675499999999</v>
      </c>
      <c r="AI361" s="4">
        <v>526.1551</v>
      </c>
      <c r="AJ361" s="22">
        <v>330.01245</v>
      </c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>
        <v>63.54</v>
      </c>
      <c r="AX361" s="22">
        <v>2138.24</v>
      </c>
      <c r="AY361" s="22"/>
      <c r="AZ361" s="4"/>
      <c r="BA361" s="4"/>
      <c r="BB361" s="4"/>
      <c r="BC361" s="22"/>
      <c r="BD361" s="22"/>
      <c r="BE361" s="22">
        <v>228.72666</v>
      </c>
      <c r="BF361" s="22">
        <v>1804.75428</v>
      </c>
      <c r="BG361" s="22">
        <v>1129.11047</v>
      </c>
      <c r="BH361" s="22"/>
      <c r="BI361" s="22"/>
      <c r="BJ361" s="22"/>
      <c r="BK361" s="22"/>
      <c r="BL361" s="22"/>
      <c r="BM361" s="22"/>
      <c r="BN361" s="22"/>
      <c r="BO361" s="4"/>
      <c r="BP361" s="4"/>
      <c r="BQ361" s="4"/>
      <c r="BR361" s="4"/>
      <c r="BS361" s="4"/>
      <c r="BT361" s="22"/>
      <c r="BU361" s="24"/>
    </row>
    <row r="362" spans="1:73" ht="73.5" customHeight="1" outlineLevel="2">
      <c r="A362" s="56" t="s">
        <v>851</v>
      </c>
      <c r="B362" s="26" t="s">
        <v>227</v>
      </c>
      <c r="C362" s="39">
        <f t="shared" si="62"/>
        <v>1345.1651200000001</v>
      </c>
      <c r="D362" s="1">
        <f t="shared" si="60"/>
        <v>376.23332</v>
      </c>
      <c r="E362" s="1">
        <f t="shared" si="61"/>
        <v>968.9318000000001</v>
      </c>
      <c r="F362" s="22"/>
      <c r="G362" s="22"/>
      <c r="H362" s="22"/>
      <c r="I362" s="22"/>
      <c r="J362" s="22"/>
      <c r="K362" s="22"/>
      <c r="L362" s="22"/>
      <c r="M362" s="2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22">
        <v>54</v>
      </c>
      <c r="AA362" s="22">
        <v>28.6335</v>
      </c>
      <c r="AB362" s="23"/>
      <c r="AC362" s="4"/>
      <c r="AD362" s="22"/>
      <c r="AE362" s="22"/>
      <c r="AF362" s="22"/>
      <c r="AG362" s="22"/>
      <c r="AH362" s="20">
        <v>153.85855</v>
      </c>
      <c r="AI362" s="4">
        <v>55.0957</v>
      </c>
      <c r="AJ362" s="22">
        <v>98.76285</v>
      </c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4"/>
      <c r="BA362" s="4"/>
      <c r="BB362" s="4"/>
      <c r="BC362" s="22"/>
      <c r="BD362" s="22">
        <v>584.49615</v>
      </c>
      <c r="BE362" s="22"/>
      <c r="BF362" s="22">
        <v>322.23332</v>
      </c>
      <c r="BG362" s="22">
        <v>201.9436</v>
      </c>
      <c r="BH362" s="22"/>
      <c r="BI362" s="22"/>
      <c r="BJ362" s="22"/>
      <c r="BK362" s="22"/>
      <c r="BL362" s="22"/>
      <c r="BM362" s="22"/>
      <c r="BN362" s="22"/>
      <c r="BO362" s="4"/>
      <c r="BP362" s="4"/>
      <c r="BQ362" s="4"/>
      <c r="BR362" s="4"/>
      <c r="BS362" s="4"/>
      <c r="BT362" s="22"/>
      <c r="BU362" s="24"/>
    </row>
    <row r="363" spans="1:73" ht="73.5" customHeight="1" outlineLevel="2">
      <c r="A363" s="46" t="s">
        <v>424</v>
      </c>
      <c r="B363" s="26" t="s">
        <v>770</v>
      </c>
      <c r="C363" s="39">
        <f t="shared" si="62"/>
        <v>24.79795</v>
      </c>
      <c r="D363" s="1">
        <f t="shared" si="60"/>
        <v>15.22826</v>
      </c>
      <c r="E363" s="1">
        <f t="shared" si="61"/>
        <v>9.56969</v>
      </c>
      <c r="F363" s="22"/>
      <c r="G363" s="22"/>
      <c r="H363" s="22"/>
      <c r="I363" s="22"/>
      <c r="J363" s="22"/>
      <c r="K363" s="22"/>
      <c r="L363" s="22"/>
      <c r="M363" s="2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22"/>
      <c r="AA363" s="22"/>
      <c r="AB363" s="23"/>
      <c r="AC363" s="4"/>
      <c r="AD363" s="22"/>
      <c r="AE363" s="22"/>
      <c r="AF363" s="22"/>
      <c r="AG363" s="22"/>
      <c r="AH363" s="20"/>
      <c r="AI363" s="4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4"/>
      <c r="BA363" s="4"/>
      <c r="BB363" s="4"/>
      <c r="BC363" s="22"/>
      <c r="BD363" s="22"/>
      <c r="BE363" s="22"/>
      <c r="BF363" s="22">
        <v>15.22826</v>
      </c>
      <c r="BG363" s="22">
        <v>9.56969</v>
      </c>
      <c r="BH363" s="22"/>
      <c r="BI363" s="22"/>
      <c r="BJ363" s="22"/>
      <c r="BK363" s="22"/>
      <c r="BL363" s="22"/>
      <c r="BM363" s="22"/>
      <c r="BN363" s="22"/>
      <c r="BO363" s="4"/>
      <c r="BP363" s="4"/>
      <c r="BQ363" s="4"/>
      <c r="BR363" s="4"/>
      <c r="BS363" s="4"/>
      <c r="BT363" s="22"/>
      <c r="BU363" s="24"/>
    </row>
    <row r="364" spans="1:73" ht="73.5" customHeight="1" outlineLevel="2">
      <c r="A364" s="46" t="s">
        <v>424</v>
      </c>
      <c r="B364" s="26" t="s">
        <v>861</v>
      </c>
      <c r="C364" s="39">
        <f t="shared" si="62"/>
        <v>44.42621</v>
      </c>
      <c r="D364" s="1">
        <f t="shared" si="60"/>
        <v>0</v>
      </c>
      <c r="E364" s="1">
        <f t="shared" si="61"/>
        <v>44.42621</v>
      </c>
      <c r="F364" s="22"/>
      <c r="G364" s="22"/>
      <c r="H364" s="22"/>
      <c r="I364" s="22"/>
      <c r="J364" s="22"/>
      <c r="K364" s="22"/>
      <c r="L364" s="22"/>
      <c r="M364" s="2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22"/>
      <c r="AA364" s="22"/>
      <c r="AB364" s="23"/>
      <c r="AC364" s="4"/>
      <c r="AD364" s="22"/>
      <c r="AE364" s="22"/>
      <c r="AF364" s="22"/>
      <c r="AG364" s="22"/>
      <c r="AH364" s="20"/>
      <c r="AI364" s="4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4">
        <v>44.42621</v>
      </c>
      <c r="BA364" s="4"/>
      <c r="BB364" s="4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4"/>
      <c r="BP364" s="4"/>
      <c r="BQ364" s="4"/>
      <c r="BR364" s="4"/>
      <c r="BS364" s="4"/>
      <c r="BT364" s="22"/>
      <c r="BU364" s="24"/>
    </row>
    <row r="365" spans="1:73" ht="73.5" customHeight="1" outlineLevel="2">
      <c r="A365" s="46" t="s">
        <v>424</v>
      </c>
      <c r="B365" s="26" t="s">
        <v>200</v>
      </c>
      <c r="C365" s="39">
        <f t="shared" si="62"/>
        <v>1517.32547</v>
      </c>
      <c r="D365" s="1">
        <f t="shared" si="60"/>
        <v>282.10643</v>
      </c>
      <c r="E365" s="1">
        <f t="shared" si="61"/>
        <v>1235.21904</v>
      </c>
      <c r="F365" s="22"/>
      <c r="G365" s="22"/>
      <c r="H365" s="22"/>
      <c r="I365" s="22"/>
      <c r="J365" s="22"/>
      <c r="K365" s="22"/>
      <c r="L365" s="22"/>
      <c r="M365" s="2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22">
        <v>135</v>
      </c>
      <c r="AA365" s="22">
        <v>88.8165</v>
      </c>
      <c r="AB365" s="4"/>
      <c r="AC365" s="4"/>
      <c r="AD365" s="22"/>
      <c r="AE365" s="22"/>
      <c r="AF365" s="22"/>
      <c r="AG365" s="22"/>
      <c r="AH365" s="20">
        <f>16.86195+22.4848</f>
        <v>39.34675</v>
      </c>
      <c r="AI365" s="4">
        <v>22.4848</v>
      </c>
      <c r="AJ365" s="22">
        <v>16.86195</v>
      </c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>
        <v>931.84</v>
      </c>
      <c r="AY365" s="22"/>
      <c r="AZ365" s="4"/>
      <c r="BA365" s="4"/>
      <c r="BB365" s="4"/>
      <c r="BC365" s="22"/>
      <c r="BD365" s="22">
        <v>83.11135</v>
      </c>
      <c r="BE365" s="22"/>
      <c r="BF365" s="22">
        <v>147.10643</v>
      </c>
      <c r="BG365" s="22">
        <v>92.10444</v>
      </c>
      <c r="BH365" s="22"/>
      <c r="BI365" s="22"/>
      <c r="BJ365" s="22"/>
      <c r="BK365" s="22"/>
      <c r="BL365" s="22"/>
      <c r="BM365" s="22"/>
      <c r="BN365" s="22"/>
      <c r="BO365" s="4"/>
      <c r="BP365" s="4"/>
      <c r="BQ365" s="4"/>
      <c r="BR365" s="4"/>
      <c r="BS365" s="4"/>
      <c r="BT365" s="22"/>
      <c r="BU365" s="24"/>
    </row>
    <row r="366" spans="1:73" ht="73.5" customHeight="1" outlineLevel="2">
      <c r="A366" s="46" t="s">
        <v>424</v>
      </c>
      <c r="B366" s="26" t="s">
        <v>349</v>
      </c>
      <c r="C366" s="39">
        <f t="shared" si="62"/>
        <v>1177.0928800000002</v>
      </c>
      <c r="D366" s="1">
        <f t="shared" si="60"/>
        <v>299.78147</v>
      </c>
      <c r="E366" s="1">
        <f t="shared" si="61"/>
        <v>877.3114100000001</v>
      </c>
      <c r="F366" s="22"/>
      <c r="G366" s="22"/>
      <c r="H366" s="22"/>
      <c r="I366" s="22"/>
      <c r="J366" s="22">
        <v>34.16416</v>
      </c>
      <c r="K366" s="22">
        <v>13.75103</v>
      </c>
      <c r="L366" s="22"/>
      <c r="M366" s="2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22"/>
      <c r="AA366" s="22"/>
      <c r="AB366" s="23">
        <v>101.38012</v>
      </c>
      <c r="AC366" s="4">
        <v>52.44555</v>
      </c>
      <c r="AD366" s="22"/>
      <c r="AE366" s="22"/>
      <c r="AF366" s="22"/>
      <c r="AG366" s="22"/>
      <c r="AH366" s="20">
        <v>83.5112</v>
      </c>
      <c r="AI366" s="4">
        <v>44.9696</v>
      </c>
      <c r="AJ366" s="22">
        <v>38.5416</v>
      </c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>
        <v>42.3</v>
      </c>
      <c r="AX366" s="22">
        <v>515.84</v>
      </c>
      <c r="AY366" s="22"/>
      <c r="AZ366" s="4"/>
      <c r="BA366" s="4"/>
      <c r="BB366" s="4"/>
      <c r="BC366" s="22"/>
      <c r="BD366" s="22"/>
      <c r="BE366" s="22">
        <v>66.56181</v>
      </c>
      <c r="BF366" s="22">
        <v>164.23719</v>
      </c>
      <c r="BG366" s="22">
        <v>102.90182</v>
      </c>
      <c r="BH366" s="22"/>
      <c r="BI366" s="22"/>
      <c r="BJ366" s="22"/>
      <c r="BK366" s="22"/>
      <c r="BL366" s="22"/>
      <c r="BM366" s="22"/>
      <c r="BN366" s="22"/>
      <c r="BO366" s="4"/>
      <c r="BP366" s="4"/>
      <c r="BQ366" s="4"/>
      <c r="BR366" s="4"/>
      <c r="BS366" s="4"/>
      <c r="BT366" s="22"/>
      <c r="BU366" s="24"/>
    </row>
    <row r="367" spans="1:73" ht="73.5" customHeight="1" outlineLevel="2">
      <c r="A367" s="46" t="s">
        <v>424</v>
      </c>
      <c r="B367" s="26" t="s">
        <v>767</v>
      </c>
      <c r="C367" s="2">
        <f t="shared" si="62"/>
        <v>62.928039999999996</v>
      </c>
      <c r="D367" s="1">
        <f t="shared" si="60"/>
        <v>39.31135</v>
      </c>
      <c r="E367" s="1">
        <f t="shared" si="61"/>
        <v>23.61669</v>
      </c>
      <c r="F367" s="22"/>
      <c r="G367" s="22"/>
      <c r="H367" s="22"/>
      <c r="I367" s="22"/>
      <c r="J367" s="22"/>
      <c r="K367" s="22"/>
      <c r="L367" s="22"/>
      <c r="M367" s="2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22"/>
      <c r="AA367" s="22"/>
      <c r="AB367" s="23">
        <v>20.27602</v>
      </c>
      <c r="AC367" s="4">
        <v>11.65457</v>
      </c>
      <c r="AD367" s="22"/>
      <c r="AE367" s="22"/>
      <c r="AF367" s="22"/>
      <c r="AG367" s="22"/>
      <c r="AH367" s="20"/>
      <c r="AI367" s="4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4"/>
      <c r="BA367" s="4"/>
      <c r="BB367" s="4"/>
      <c r="BC367" s="22"/>
      <c r="BD367" s="22"/>
      <c r="BE367" s="22"/>
      <c r="BF367" s="22">
        <v>19.03533</v>
      </c>
      <c r="BG367" s="22">
        <v>11.96212</v>
      </c>
      <c r="BH367" s="22"/>
      <c r="BI367" s="22"/>
      <c r="BJ367" s="22"/>
      <c r="BK367" s="22"/>
      <c r="BL367" s="22"/>
      <c r="BM367" s="22"/>
      <c r="BN367" s="22"/>
      <c r="BO367" s="4"/>
      <c r="BP367" s="4"/>
      <c r="BQ367" s="4"/>
      <c r="BR367" s="4"/>
      <c r="BS367" s="4"/>
      <c r="BT367" s="22"/>
      <c r="BU367" s="24"/>
    </row>
    <row r="368" spans="1:74" s="66" customFormat="1" ht="73.5" customHeight="1" outlineLevel="2">
      <c r="A368" s="46" t="s">
        <v>424</v>
      </c>
      <c r="B368" s="26" t="s">
        <v>768</v>
      </c>
      <c r="C368" s="2">
        <f t="shared" si="62"/>
        <v>146.07564000000002</v>
      </c>
      <c r="D368" s="1">
        <f t="shared" si="60"/>
        <v>90.35424</v>
      </c>
      <c r="E368" s="1">
        <f t="shared" si="61"/>
        <v>55.7214</v>
      </c>
      <c r="F368" s="22"/>
      <c r="G368" s="22"/>
      <c r="H368" s="22"/>
      <c r="I368" s="22"/>
      <c r="J368" s="22"/>
      <c r="K368" s="22"/>
      <c r="L368" s="22"/>
      <c r="M368" s="2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22"/>
      <c r="AA368" s="22"/>
      <c r="AB368" s="23">
        <v>31.17515</v>
      </c>
      <c r="AC368" s="4">
        <v>18.64731</v>
      </c>
      <c r="AD368" s="22"/>
      <c r="AE368" s="22"/>
      <c r="AF368" s="22"/>
      <c r="AG368" s="22"/>
      <c r="AH368" s="20"/>
      <c r="AI368" s="4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4"/>
      <c r="BA368" s="4"/>
      <c r="BB368" s="4"/>
      <c r="BC368" s="22"/>
      <c r="BD368" s="22"/>
      <c r="BE368" s="22"/>
      <c r="BF368" s="22">
        <v>59.17909</v>
      </c>
      <c r="BG368" s="22">
        <v>37.07409</v>
      </c>
      <c r="BH368" s="22"/>
      <c r="BI368" s="22"/>
      <c r="BJ368" s="22"/>
      <c r="BK368" s="22"/>
      <c r="BL368" s="22"/>
      <c r="BM368" s="22"/>
      <c r="BN368" s="22"/>
      <c r="BO368" s="4"/>
      <c r="BP368" s="4"/>
      <c r="BQ368" s="4"/>
      <c r="BR368" s="4"/>
      <c r="BS368" s="4"/>
      <c r="BT368" s="22"/>
      <c r="BU368" s="24"/>
      <c r="BV368" s="65"/>
    </row>
    <row r="369" spans="1:74" s="66" customFormat="1" ht="73.5" customHeight="1" outlineLevel="2">
      <c r="A369" s="46" t="s">
        <v>424</v>
      </c>
      <c r="B369" s="26" t="s">
        <v>485</v>
      </c>
      <c r="C369" s="2">
        <f t="shared" si="62"/>
        <v>188.86077999999998</v>
      </c>
      <c r="D369" s="1">
        <f t="shared" si="60"/>
        <v>75.21341</v>
      </c>
      <c r="E369" s="1">
        <f t="shared" si="61"/>
        <v>113.64737</v>
      </c>
      <c r="F369" s="22"/>
      <c r="G369" s="22"/>
      <c r="H369" s="22"/>
      <c r="I369" s="22"/>
      <c r="J369" s="22"/>
      <c r="K369" s="22"/>
      <c r="L369" s="22"/>
      <c r="M369" s="2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22">
        <v>27</v>
      </c>
      <c r="AA369" s="22">
        <v>14.337</v>
      </c>
      <c r="AB369" s="23">
        <v>7.10209</v>
      </c>
      <c r="AC369" s="4">
        <v>6.99274</v>
      </c>
      <c r="AD369" s="22"/>
      <c r="AE369" s="22"/>
      <c r="AF369" s="22"/>
      <c r="AG369" s="22"/>
      <c r="AH369" s="20"/>
      <c r="AI369" s="4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>
        <v>66.56</v>
      </c>
      <c r="AY369" s="22"/>
      <c r="AZ369" s="4"/>
      <c r="BA369" s="4"/>
      <c r="BB369" s="4"/>
      <c r="BC369" s="22"/>
      <c r="BD369" s="22"/>
      <c r="BE369" s="22"/>
      <c r="BF369" s="22">
        <v>41.11132</v>
      </c>
      <c r="BG369" s="22">
        <v>25.75763</v>
      </c>
      <c r="BH369" s="22"/>
      <c r="BI369" s="22"/>
      <c r="BJ369" s="22"/>
      <c r="BK369" s="22"/>
      <c r="BL369" s="22"/>
      <c r="BM369" s="22"/>
      <c r="BN369" s="22"/>
      <c r="BO369" s="4"/>
      <c r="BP369" s="4"/>
      <c r="BQ369" s="4"/>
      <c r="BR369" s="4"/>
      <c r="BS369" s="4"/>
      <c r="BT369" s="22"/>
      <c r="BU369" s="24"/>
      <c r="BV369" s="65"/>
    </row>
    <row r="370" spans="1:73" ht="73.5" customHeight="1" outlineLevel="2">
      <c r="A370" s="46" t="s">
        <v>424</v>
      </c>
      <c r="B370" s="26" t="s">
        <v>253</v>
      </c>
      <c r="C370" s="2">
        <f t="shared" si="62"/>
        <v>405.86868</v>
      </c>
      <c r="D370" s="1">
        <f t="shared" si="60"/>
        <v>229.74928</v>
      </c>
      <c r="E370" s="1">
        <f t="shared" si="61"/>
        <v>176.11939999999998</v>
      </c>
      <c r="F370" s="22"/>
      <c r="G370" s="22"/>
      <c r="H370" s="22"/>
      <c r="I370" s="22"/>
      <c r="J370" s="22"/>
      <c r="K370" s="22"/>
      <c r="L370" s="22"/>
      <c r="M370" s="2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22"/>
      <c r="AA370" s="22"/>
      <c r="AB370" s="23">
        <v>111.79213</v>
      </c>
      <c r="AC370" s="4">
        <v>39.62552</v>
      </c>
      <c r="AD370" s="22"/>
      <c r="AE370" s="22"/>
      <c r="AF370" s="22"/>
      <c r="AG370" s="22"/>
      <c r="AH370" s="20">
        <f>28.9062+33.7272</f>
        <v>62.6334</v>
      </c>
      <c r="AI370" s="4">
        <v>33.7272</v>
      </c>
      <c r="AJ370" s="22">
        <v>28.9062</v>
      </c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4"/>
      <c r="BA370" s="4"/>
      <c r="BB370" s="4"/>
      <c r="BC370" s="22"/>
      <c r="BD370" s="22"/>
      <c r="BE370" s="22"/>
      <c r="BF370" s="22">
        <v>117.95715</v>
      </c>
      <c r="BG370" s="22">
        <v>73.86048</v>
      </c>
      <c r="BH370" s="22"/>
      <c r="BI370" s="22"/>
      <c r="BJ370" s="22"/>
      <c r="BK370" s="22"/>
      <c r="BL370" s="22"/>
      <c r="BM370" s="22"/>
      <c r="BN370" s="22"/>
      <c r="BO370" s="4"/>
      <c r="BP370" s="4"/>
      <c r="BQ370" s="4"/>
      <c r="BR370" s="4"/>
      <c r="BS370" s="4"/>
      <c r="BT370" s="22"/>
      <c r="BU370" s="24"/>
    </row>
    <row r="371" spans="1:73" ht="73.5" customHeight="1" outlineLevel="2">
      <c r="A371" s="46" t="s">
        <v>424</v>
      </c>
      <c r="B371" s="26" t="s">
        <v>844</v>
      </c>
      <c r="C371" s="2">
        <f>D371+E371</f>
        <v>3000</v>
      </c>
      <c r="D371" s="1">
        <f t="shared" si="60"/>
        <v>0</v>
      </c>
      <c r="E371" s="1">
        <f t="shared" si="61"/>
        <v>3000</v>
      </c>
      <c r="F371" s="22"/>
      <c r="G371" s="22"/>
      <c r="H371" s="22"/>
      <c r="I371" s="22"/>
      <c r="J371" s="22"/>
      <c r="K371" s="22"/>
      <c r="L371" s="22"/>
      <c r="M371" s="2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22"/>
      <c r="AA371" s="22"/>
      <c r="AB371" s="23"/>
      <c r="AC371" s="4"/>
      <c r="AD371" s="22"/>
      <c r="AE371" s="22"/>
      <c r="AF371" s="22"/>
      <c r="AG371" s="22"/>
      <c r="AH371" s="20"/>
      <c r="AI371" s="4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4"/>
      <c r="BA371" s="4"/>
      <c r="BB371" s="4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4"/>
      <c r="BP371" s="4">
        <v>3000</v>
      </c>
      <c r="BQ371" s="4"/>
      <c r="BR371" s="4"/>
      <c r="BS371" s="4"/>
      <c r="BT371" s="22"/>
      <c r="BU371" s="24"/>
    </row>
    <row r="372" spans="1:73" ht="73.5" customHeight="1" outlineLevel="2">
      <c r="A372" s="46" t="s">
        <v>424</v>
      </c>
      <c r="B372" s="26" t="s">
        <v>705</v>
      </c>
      <c r="C372" s="39">
        <f t="shared" si="62"/>
        <v>74.88</v>
      </c>
      <c r="D372" s="1">
        <f t="shared" si="60"/>
        <v>0</v>
      </c>
      <c r="E372" s="1">
        <f t="shared" si="61"/>
        <v>74.88</v>
      </c>
      <c r="F372" s="22"/>
      <c r="G372" s="22"/>
      <c r="H372" s="22"/>
      <c r="I372" s="22"/>
      <c r="J372" s="22"/>
      <c r="K372" s="22"/>
      <c r="L372" s="22"/>
      <c r="M372" s="2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22"/>
      <c r="AA372" s="22"/>
      <c r="AB372" s="23"/>
      <c r="AC372" s="4"/>
      <c r="AD372" s="22"/>
      <c r="AE372" s="22"/>
      <c r="AF372" s="22"/>
      <c r="AG372" s="22"/>
      <c r="AH372" s="20"/>
      <c r="AI372" s="4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>
        <v>74.88</v>
      </c>
      <c r="AY372" s="22"/>
      <c r="AZ372" s="4"/>
      <c r="BA372" s="4"/>
      <c r="BB372" s="4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4"/>
      <c r="BP372" s="4"/>
      <c r="BQ372" s="4"/>
      <c r="BR372" s="4"/>
      <c r="BS372" s="4"/>
      <c r="BT372" s="22"/>
      <c r="BU372" s="24"/>
    </row>
    <row r="373" spans="1:73" ht="73.5" customHeight="1" outlineLevel="2">
      <c r="A373" s="46" t="s">
        <v>424</v>
      </c>
      <c r="B373" s="26" t="s">
        <v>769</v>
      </c>
      <c r="C373" s="39">
        <f t="shared" si="62"/>
        <v>88.69566</v>
      </c>
      <c r="D373" s="1">
        <f t="shared" si="60"/>
        <v>32.36006</v>
      </c>
      <c r="E373" s="1">
        <f t="shared" si="61"/>
        <v>56.3356</v>
      </c>
      <c r="F373" s="22"/>
      <c r="G373" s="22"/>
      <c r="H373" s="22"/>
      <c r="I373" s="22"/>
      <c r="J373" s="22"/>
      <c r="K373" s="22"/>
      <c r="L373" s="22"/>
      <c r="M373" s="2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22"/>
      <c r="AA373" s="22"/>
      <c r="AB373" s="23"/>
      <c r="AC373" s="4"/>
      <c r="AD373" s="22"/>
      <c r="AE373" s="22"/>
      <c r="AF373" s="22"/>
      <c r="AG373" s="22"/>
      <c r="AH373" s="20"/>
      <c r="AI373" s="4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>
        <v>36</v>
      </c>
      <c r="AX373" s="22"/>
      <c r="AY373" s="22"/>
      <c r="AZ373" s="4"/>
      <c r="BA373" s="4"/>
      <c r="BB373" s="4"/>
      <c r="BC373" s="22"/>
      <c r="BD373" s="22"/>
      <c r="BE373" s="22"/>
      <c r="BF373" s="22">
        <v>32.36006</v>
      </c>
      <c r="BG373" s="22">
        <v>20.3356</v>
      </c>
      <c r="BH373" s="22"/>
      <c r="BI373" s="22"/>
      <c r="BJ373" s="22"/>
      <c r="BK373" s="22"/>
      <c r="BL373" s="22"/>
      <c r="BM373" s="22"/>
      <c r="BN373" s="22"/>
      <c r="BO373" s="4"/>
      <c r="BP373" s="4"/>
      <c r="BQ373" s="4"/>
      <c r="BR373" s="4"/>
      <c r="BS373" s="4"/>
      <c r="BT373" s="22"/>
      <c r="BU373" s="24"/>
    </row>
    <row r="374" spans="1:73" ht="73.5" customHeight="1" outlineLevel="2">
      <c r="A374" s="46" t="s">
        <v>424</v>
      </c>
      <c r="B374" s="26" t="s">
        <v>706</v>
      </c>
      <c r="C374" s="39">
        <f t="shared" si="62"/>
        <v>87.3055</v>
      </c>
      <c r="D374" s="1">
        <f t="shared" si="60"/>
        <v>9.20714</v>
      </c>
      <c r="E374" s="1">
        <f t="shared" si="61"/>
        <v>78.09836</v>
      </c>
      <c r="F374" s="22"/>
      <c r="G374" s="22"/>
      <c r="H374" s="22"/>
      <c r="I374" s="22"/>
      <c r="J374" s="22"/>
      <c r="K374" s="22"/>
      <c r="L374" s="22"/>
      <c r="M374" s="22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22"/>
      <c r="AA374" s="22"/>
      <c r="AB374" s="23"/>
      <c r="AC374" s="4"/>
      <c r="AD374" s="22"/>
      <c r="AE374" s="22"/>
      <c r="AF374" s="22"/>
      <c r="AG374" s="22"/>
      <c r="AH374" s="20"/>
      <c r="AI374" s="4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4">
        <v>72.32825</v>
      </c>
      <c r="BA374" s="4"/>
      <c r="BB374" s="4"/>
      <c r="BC374" s="22"/>
      <c r="BD374" s="22"/>
      <c r="BE374" s="22"/>
      <c r="BF374" s="22">
        <v>9.20714</v>
      </c>
      <c r="BG374" s="22">
        <v>5.77011</v>
      </c>
      <c r="BH374" s="22"/>
      <c r="BI374" s="22"/>
      <c r="BJ374" s="22"/>
      <c r="BK374" s="22"/>
      <c r="BL374" s="22"/>
      <c r="BM374" s="22"/>
      <c r="BN374" s="22"/>
      <c r="BO374" s="22"/>
      <c r="BP374" s="4"/>
      <c r="BQ374" s="4"/>
      <c r="BR374" s="4"/>
      <c r="BS374" s="4"/>
      <c r="BT374" s="22"/>
      <c r="BU374" s="24"/>
    </row>
    <row r="375" spans="1:73" ht="73.5" customHeight="1" outlineLevel="2">
      <c r="A375" s="46" t="s">
        <v>424</v>
      </c>
      <c r="B375" s="26" t="s">
        <v>802</v>
      </c>
      <c r="C375" s="39">
        <f>D375+E375</f>
        <v>2591.388</v>
      </c>
      <c r="D375" s="1">
        <f t="shared" si="60"/>
        <v>1500</v>
      </c>
      <c r="E375" s="1">
        <f t="shared" si="61"/>
        <v>1091.388</v>
      </c>
      <c r="F375" s="22"/>
      <c r="G375" s="22"/>
      <c r="H375" s="22"/>
      <c r="I375" s="22"/>
      <c r="J375" s="22"/>
      <c r="K375" s="22"/>
      <c r="L375" s="22"/>
      <c r="M375" s="2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22"/>
      <c r="AA375" s="22"/>
      <c r="AB375" s="23"/>
      <c r="AC375" s="4"/>
      <c r="AD375" s="22"/>
      <c r="AE375" s="22"/>
      <c r="AF375" s="22"/>
      <c r="AG375" s="22"/>
      <c r="AH375" s="20"/>
      <c r="AI375" s="4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4"/>
      <c r="BA375" s="4"/>
      <c r="BB375" s="4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4">
        <v>1500</v>
      </c>
      <c r="BP375" s="4">
        <v>1091.388</v>
      </c>
      <c r="BQ375" s="4"/>
      <c r="BR375" s="4"/>
      <c r="BS375" s="4"/>
      <c r="BT375" s="22"/>
      <c r="BU375" s="24"/>
    </row>
    <row r="376" spans="1:73" ht="73.5" customHeight="1" outlineLevel="2">
      <c r="A376" s="46" t="s">
        <v>424</v>
      </c>
      <c r="B376" s="26" t="s">
        <v>123</v>
      </c>
      <c r="C376" s="39">
        <f t="shared" si="62"/>
        <v>657.4</v>
      </c>
      <c r="D376" s="1">
        <f t="shared" si="60"/>
        <v>0</v>
      </c>
      <c r="E376" s="1">
        <f t="shared" si="61"/>
        <v>657.4</v>
      </c>
      <c r="F376" s="22"/>
      <c r="G376" s="22"/>
      <c r="H376" s="22"/>
      <c r="I376" s="22"/>
      <c r="J376" s="22"/>
      <c r="K376" s="22"/>
      <c r="L376" s="22"/>
      <c r="M376" s="2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22"/>
      <c r="AA376" s="22"/>
      <c r="AB376" s="4"/>
      <c r="AC376" s="4"/>
      <c r="AD376" s="22"/>
      <c r="AE376" s="22"/>
      <c r="AF376" s="22"/>
      <c r="AG376" s="22"/>
      <c r="AH376" s="20"/>
      <c r="AI376" s="4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4"/>
      <c r="BA376" s="4"/>
      <c r="BB376" s="4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>
        <v>657.4</v>
      </c>
      <c r="BN376" s="22"/>
      <c r="BO376" s="4"/>
      <c r="BP376" s="4"/>
      <c r="BQ376" s="4"/>
      <c r="BR376" s="4"/>
      <c r="BS376" s="4"/>
      <c r="BT376" s="22"/>
      <c r="BU376" s="24"/>
    </row>
    <row r="377" spans="1:73" ht="73.5" customHeight="1" outlineLevel="2">
      <c r="A377" s="46" t="s">
        <v>424</v>
      </c>
      <c r="B377" s="26" t="s">
        <v>707</v>
      </c>
      <c r="C377" s="39">
        <f t="shared" si="62"/>
        <v>1335.8818</v>
      </c>
      <c r="D377" s="1">
        <f t="shared" si="60"/>
        <v>0</v>
      </c>
      <c r="E377" s="1">
        <f t="shared" si="61"/>
        <v>1335.8818</v>
      </c>
      <c r="F377" s="22"/>
      <c r="G377" s="22"/>
      <c r="H377" s="22"/>
      <c r="I377" s="22"/>
      <c r="J377" s="22"/>
      <c r="K377" s="22"/>
      <c r="L377" s="22"/>
      <c r="M377" s="2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22"/>
      <c r="AA377" s="22"/>
      <c r="AB377" s="4"/>
      <c r="AC377" s="4"/>
      <c r="AD377" s="22"/>
      <c r="AE377" s="22"/>
      <c r="AF377" s="22"/>
      <c r="AG377" s="22"/>
      <c r="AH377" s="20"/>
      <c r="AI377" s="4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4"/>
      <c r="BA377" s="4"/>
      <c r="BB377" s="4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>
        <v>1335.8818</v>
      </c>
      <c r="BN377" s="22"/>
      <c r="BO377" s="4"/>
      <c r="BP377" s="4"/>
      <c r="BQ377" s="4"/>
      <c r="BR377" s="4"/>
      <c r="BS377" s="4"/>
      <c r="BT377" s="22"/>
      <c r="BU377" s="24"/>
    </row>
    <row r="378" spans="1:73" ht="73.5" customHeight="1" outlineLevel="2" thickBot="1">
      <c r="A378" s="46" t="s">
        <v>424</v>
      </c>
      <c r="B378" s="26" t="s">
        <v>124</v>
      </c>
      <c r="C378" s="39">
        <f t="shared" si="62"/>
        <v>13600.46679</v>
      </c>
      <c r="D378" s="1">
        <f t="shared" si="60"/>
        <v>0</v>
      </c>
      <c r="E378" s="1">
        <f t="shared" si="61"/>
        <v>13600.46679</v>
      </c>
      <c r="F378" s="22"/>
      <c r="G378" s="22"/>
      <c r="H378" s="22"/>
      <c r="I378" s="22"/>
      <c r="J378" s="22"/>
      <c r="K378" s="22"/>
      <c r="L378" s="22"/>
      <c r="M378" s="2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22"/>
      <c r="AA378" s="22"/>
      <c r="AB378" s="4"/>
      <c r="AC378" s="4"/>
      <c r="AD378" s="22"/>
      <c r="AE378" s="22"/>
      <c r="AF378" s="22"/>
      <c r="AG378" s="22"/>
      <c r="AH378" s="20"/>
      <c r="AI378" s="4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4"/>
      <c r="BA378" s="4"/>
      <c r="BB378" s="4"/>
      <c r="BC378" s="22"/>
      <c r="BD378" s="22"/>
      <c r="BE378" s="22"/>
      <c r="BF378" s="22"/>
      <c r="BG378" s="22"/>
      <c r="BH378" s="22"/>
      <c r="BI378" s="22"/>
      <c r="BJ378" s="22">
        <v>364.25697</v>
      </c>
      <c r="BK378" s="22"/>
      <c r="BL378" s="22"/>
      <c r="BM378" s="22">
        <v>13236.20982</v>
      </c>
      <c r="BN378" s="22"/>
      <c r="BO378" s="4"/>
      <c r="BP378" s="4"/>
      <c r="BQ378" s="4"/>
      <c r="BR378" s="4"/>
      <c r="BS378" s="4"/>
      <c r="BT378" s="22"/>
      <c r="BU378" s="24"/>
    </row>
    <row r="379" spans="1:74" s="35" customFormat="1" ht="73.5" customHeight="1" outlineLevel="1" thickBot="1">
      <c r="A379" s="29" t="s">
        <v>42</v>
      </c>
      <c r="B379" s="54"/>
      <c r="C379" s="31">
        <f aca="true" t="shared" si="63" ref="C379:BN379">SUBTOTAL(9,C353:C378)</f>
        <v>65880.13003000001</v>
      </c>
      <c r="D379" s="31">
        <f t="shared" si="63"/>
        <v>15755.841210000002</v>
      </c>
      <c r="E379" s="31">
        <f t="shared" si="63"/>
        <v>50124.288819999994</v>
      </c>
      <c r="F379" s="31">
        <f t="shared" si="63"/>
        <v>0</v>
      </c>
      <c r="G379" s="31">
        <f t="shared" si="63"/>
        <v>0</v>
      </c>
      <c r="H379" s="31">
        <f t="shared" si="63"/>
        <v>6.28623</v>
      </c>
      <c r="I379" s="31">
        <f t="shared" si="63"/>
        <v>1.36356</v>
      </c>
      <c r="J379" s="31">
        <f t="shared" si="63"/>
        <v>2589.9810899999998</v>
      </c>
      <c r="K379" s="31">
        <f t="shared" si="63"/>
        <v>549.7947800000001</v>
      </c>
      <c r="L379" s="31">
        <f t="shared" si="63"/>
        <v>337.34968000000003</v>
      </c>
      <c r="M379" s="31">
        <f t="shared" si="63"/>
        <v>0</v>
      </c>
      <c r="N379" s="31">
        <f t="shared" si="63"/>
        <v>0</v>
      </c>
      <c r="O379" s="31">
        <f t="shared" si="63"/>
        <v>0</v>
      </c>
      <c r="P379" s="31">
        <f t="shared" si="63"/>
        <v>0</v>
      </c>
      <c r="Q379" s="31">
        <f t="shared" si="63"/>
        <v>0</v>
      </c>
      <c r="R379" s="31">
        <f t="shared" si="63"/>
        <v>538.4313</v>
      </c>
      <c r="S379" s="31">
        <f t="shared" si="63"/>
        <v>603.12235</v>
      </c>
      <c r="T379" s="31">
        <f t="shared" si="63"/>
        <v>0</v>
      </c>
      <c r="U379" s="31">
        <f t="shared" si="63"/>
        <v>0</v>
      </c>
      <c r="V379" s="31">
        <f t="shared" si="63"/>
        <v>0</v>
      </c>
      <c r="W379" s="31">
        <f t="shared" si="63"/>
        <v>0</v>
      </c>
      <c r="X379" s="31">
        <f t="shared" si="63"/>
        <v>0</v>
      </c>
      <c r="Y379" s="31">
        <f t="shared" si="63"/>
        <v>0</v>
      </c>
      <c r="Z379" s="31">
        <f t="shared" si="63"/>
        <v>742.4224399999999</v>
      </c>
      <c r="AA379" s="31">
        <f t="shared" si="63"/>
        <v>632.0655</v>
      </c>
      <c r="AB379" s="31">
        <f t="shared" si="63"/>
        <v>2277.7935899999993</v>
      </c>
      <c r="AC379" s="31">
        <f t="shared" si="63"/>
        <v>1225.36108</v>
      </c>
      <c r="AD379" s="31">
        <f t="shared" si="63"/>
        <v>0</v>
      </c>
      <c r="AE379" s="31">
        <f t="shared" si="63"/>
        <v>0</v>
      </c>
      <c r="AF379" s="31">
        <f t="shared" si="63"/>
        <v>0</v>
      </c>
      <c r="AG379" s="31">
        <f t="shared" si="63"/>
        <v>0</v>
      </c>
      <c r="AH379" s="31">
        <f t="shared" si="63"/>
        <v>2934.0583</v>
      </c>
      <c r="AI379" s="31">
        <f t="shared" si="63"/>
        <v>1536.9325</v>
      </c>
      <c r="AJ379" s="31">
        <f t="shared" si="63"/>
        <v>1397.1258</v>
      </c>
      <c r="AK379" s="31">
        <f t="shared" si="63"/>
        <v>0</v>
      </c>
      <c r="AL379" s="31">
        <f t="shared" si="63"/>
        <v>0</v>
      </c>
      <c r="AM379" s="31">
        <f t="shared" si="63"/>
        <v>0</v>
      </c>
      <c r="AN379" s="31">
        <f t="shared" si="63"/>
        <v>0</v>
      </c>
      <c r="AO379" s="31">
        <f t="shared" si="63"/>
        <v>0</v>
      </c>
      <c r="AP379" s="31">
        <f t="shared" si="63"/>
        <v>0</v>
      </c>
      <c r="AQ379" s="31">
        <f t="shared" si="63"/>
        <v>0</v>
      </c>
      <c r="AR379" s="31">
        <f t="shared" si="63"/>
        <v>0</v>
      </c>
      <c r="AS379" s="31">
        <f t="shared" si="63"/>
        <v>0</v>
      </c>
      <c r="AT379" s="31">
        <f t="shared" si="63"/>
        <v>692.21836</v>
      </c>
      <c r="AU379" s="31">
        <f t="shared" si="63"/>
        <v>1610</v>
      </c>
      <c r="AV379" s="31">
        <f t="shared" si="63"/>
        <v>0</v>
      </c>
      <c r="AW379" s="31">
        <f t="shared" si="63"/>
        <v>449.87</v>
      </c>
      <c r="AX379" s="31">
        <f t="shared" si="63"/>
        <v>10957.439999999999</v>
      </c>
      <c r="AY379" s="31">
        <f t="shared" si="63"/>
        <v>288.32158</v>
      </c>
      <c r="AZ379" s="31">
        <f t="shared" si="63"/>
        <v>410.1713500000001</v>
      </c>
      <c r="BA379" s="31">
        <f t="shared" si="63"/>
        <v>0</v>
      </c>
      <c r="BB379" s="31">
        <f t="shared" si="63"/>
        <v>0</v>
      </c>
      <c r="BC379" s="31">
        <f t="shared" si="63"/>
        <v>0</v>
      </c>
      <c r="BD379" s="31">
        <f t="shared" si="63"/>
        <v>1785.2346299999997</v>
      </c>
      <c r="BE379" s="31">
        <f t="shared" si="63"/>
        <v>4488.3309500000005</v>
      </c>
      <c r="BF379" s="31">
        <f t="shared" si="63"/>
        <v>7120.38662</v>
      </c>
      <c r="BG379" s="31">
        <f t="shared" si="63"/>
        <v>4454.990050000001</v>
      </c>
      <c r="BH379" s="31">
        <f t="shared" si="63"/>
        <v>0</v>
      </c>
      <c r="BI379" s="31">
        <f t="shared" si="63"/>
        <v>0</v>
      </c>
      <c r="BJ379" s="31">
        <f t="shared" si="63"/>
        <v>364.25697</v>
      </c>
      <c r="BK379" s="31">
        <f t="shared" si="63"/>
        <v>0</v>
      </c>
      <c r="BL379" s="31">
        <f t="shared" si="63"/>
        <v>0</v>
      </c>
      <c r="BM379" s="31">
        <f t="shared" si="63"/>
        <v>15229.49162</v>
      </c>
      <c r="BN379" s="31">
        <f t="shared" si="63"/>
        <v>0</v>
      </c>
      <c r="BO379" s="31">
        <f aca="true" t="shared" si="64" ref="BO379:BT379">SUBTOTAL(9,BO353:BO378)</f>
        <v>1500</v>
      </c>
      <c r="BP379" s="31">
        <f t="shared" si="64"/>
        <v>4091.388</v>
      </c>
      <c r="BQ379" s="31">
        <f t="shared" si="64"/>
        <v>0</v>
      </c>
      <c r="BR379" s="31">
        <f t="shared" si="64"/>
        <v>0</v>
      </c>
      <c r="BS379" s="32">
        <f t="shared" si="64"/>
        <v>0</v>
      </c>
      <c r="BT379" s="32">
        <f t="shared" si="64"/>
        <v>0</v>
      </c>
      <c r="BU379" s="33"/>
      <c r="BV379" s="34"/>
    </row>
    <row r="380" spans="1:73" ht="73.5" customHeight="1" outlineLevel="2">
      <c r="A380" s="36" t="s">
        <v>43</v>
      </c>
      <c r="B380" s="52" t="s">
        <v>350</v>
      </c>
      <c r="C380" s="39">
        <f>D380+E380</f>
        <v>1276.2593900000002</v>
      </c>
      <c r="D380" s="1">
        <f aca="true" t="shared" si="65" ref="D380:D403">F380+J380+N380+R380+T380+Z380+AB380+AD380+AF380+AM380+AO380+AT380+AY380+BF380+BO380+BS380+H380+V380+X380+BQ380+AR380+BH380</f>
        <v>804.6204700000001</v>
      </c>
      <c r="E380" s="1">
        <f aca="true" t="shared" si="66" ref="E380:E403">G380+I380+K380+L380+M380+O380+P380+Q380+S380+U380+W380+Y380+AA380+AC380+AE380+AG380+AH380+AK380+AL380+AN380+AP380+AQ380+AS380+AU380+AV380+AW380+AX380+AZ380+BA380+BB380+BC380+BD380+BE380+BG380+BI380+BJ380+BK380+BL380+BM380+BN380+BU380+BP380+BR380+BT380</f>
        <v>471.63892</v>
      </c>
      <c r="F380" s="40"/>
      <c r="G380" s="40"/>
      <c r="H380" s="40"/>
      <c r="I380" s="40"/>
      <c r="J380" s="40"/>
      <c r="K380" s="40"/>
      <c r="L380" s="40"/>
      <c r="M380" s="40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0"/>
      <c r="AA380" s="40"/>
      <c r="AB380" s="42">
        <v>363.48883</v>
      </c>
      <c r="AC380" s="41">
        <v>115.3802</v>
      </c>
      <c r="AD380" s="40"/>
      <c r="AE380" s="40"/>
      <c r="AF380" s="40"/>
      <c r="AG380" s="40"/>
      <c r="AH380" s="43"/>
      <c r="AI380" s="41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>
        <v>86.98957</v>
      </c>
      <c r="AZ380" s="41">
        <v>134.56092</v>
      </c>
      <c r="BA380" s="41"/>
      <c r="BB380" s="41"/>
      <c r="BC380" s="40"/>
      <c r="BD380" s="40"/>
      <c r="BE380" s="40"/>
      <c r="BF380" s="40">
        <v>354.14207</v>
      </c>
      <c r="BG380" s="40">
        <v>221.6978</v>
      </c>
      <c r="BH380" s="40"/>
      <c r="BI380" s="40"/>
      <c r="BJ380" s="40"/>
      <c r="BK380" s="40"/>
      <c r="BL380" s="40"/>
      <c r="BM380" s="40"/>
      <c r="BN380" s="40"/>
      <c r="BO380" s="41"/>
      <c r="BP380" s="41"/>
      <c r="BQ380" s="41"/>
      <c r="BR380" s="41"/>
      <c r="BS380" s="4"/>
      <c r="BT380" s="22"/>
      <c r="BU380" s="24"/>
    </row>
    <row r="381" spans="1:73" ht="73.5" customHeight="1" outlineLevel="2">
      <c r="A381" s="46" t="s">
        <v>43</v>
      </c>
      <c r="B381" s="26" t="s">
        <v>708</v>
      </c>
      <c r="C381" s="39">
        <f aca="true" t="shared" si="67" ref="C381:C403">D381+E381</f>
        <v>3564.41156</v>
      </c>
      <c r="D381" s="1">
        <f t="shared" si="65"/>
        <v>2067.75815</v>
      </c>
      <c r="E381" s="1">
        <f t="shared" si="66"/>
        <v>1496.65341</v>
      </c>
      <c r="F381" s="22"/>
      <c r="G381" s="22"/>
      <c r="H381" s="22"/>
      <c r="I381" s="22"/>
      <c r="J381" s="22"/>
      <c r="K381" s="22"/>
      <c r="L381" s="22"/>
      <c r="M381" s="2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22"/>
      <c r="AA381" s="22"/>
      <c r="AB381" s="23">
        <v>529.97752</v>
      </c>
      <c r="AC381" s="4">
        <v>198.12762</v>
      </c>
      <c r="AD381" s="22"/>
      <c r="AE381" s="22"/>
      <c r="AF381" s="22"/>
      <c r="AG381" s="22"/>
      <c r="AH381" s="20"/>
      <c r="AI381" s="4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>
        <v>774.10759</v>
      </c>
      <c r="AZ381" s="4">
        <v>1141.06</v>
      </c>
      <c r="BA381" s="4"/>
      <c r="BB381" s="4"/>
      <c r="BC381" s="22"/>
      <c r="BD381" s="22"/>
      <c r="BE381" s="22"/>
      <c r="BF381" s="22">
        <v>763.67304</v>
      </c>
      <c r="BG381" s="22">
        <v>157.46579</v>
      </c>
      <c r="BH381" s="22"/>
      <c r="BI381" s="22"/>
      <c r="BJ381" s="22"/>
      <c r="BK381" s="22"/>
      <c r="BL381" s="22"/>
      <c r="BM381" s="22"/>
      <c r="BN381" s="22"/>
      <c r="BO381" s="4"/>
      <c r="BP381" s="4"/>
      <c r="BQ381" s="4"/>
      <c r="BR381" s="4"/>
      <c r="BS381" s="4"/>
      <c r="BT381" s="22"/>
      <c r="BU381" s="24"/>
    </row>
    <row r="382" spans="1:73" ht="73.5" customHeight="1" outlineLevel="2">
      <c r="A382" s="46" t="s">
        <v>43</v>
      </c>
      <c r="B382" s="26" t="s">
        <v>469</v>
      </c>
      <c r="C382" s="39">
        <f t="shared" si="67"/>
        <v>105.98965999999999</v>
      </c>
      <c r="D382" s="1">
        <f t="shared" si="65"/>
        <v>65.22988</v>
      </c>
      <c r="E382" s="1">
        <f t="shared" si="66"/>
        <v>40.75978</v>
      </c>
      <c r="F382" s="22"/>
      <c r="G382" s="22"/>
      <c r="H382" s="22"/>
      <c r="I382" s="22"/>
      <c r="J382" s="22"/>
      <c r="K382" s="22"/>
      <c r="L382" s="22"/>
      <c r="M382" s="22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22"/>
      <c r="AA382" s="22"/>
      <c r="AB382" s="23"/>
      <c r="AC382" s="4"/>
      <c r="AD382" s="22"/>
      <c r="AE382" s="22"/>
      <c r="AF382" s="22"/>
      <c r="AG382" s="22"/>
      <c r="AH382" s="20"/>
      <c r="AI382" s="4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4"/>
      <c r="BA382" s="4"/>
      <c r="BB382" s="4"/>
      <c r="BC382" s="22"/>
      <c r="BD382" s="22"/>
      <c r="BE382" s="22"/>
      <c r="BF382" s="22">
        <v>65.22988</v>
      </c>
      <c r="BG382" s="22">
        <v>40.75978</v>
      </c>
      <c r="BH382" s="22"/>
      <c r="BI382" s="22"/>
      <c r="BJ382" s="22"/>
      <c r="BK382" s="22"/>
      <c r="BL382" s="22"/>
      <c r="BM382" s="22"/>
      <c r="BN382" s="22"/>
      <c r="BO382" s="4"/>
      <c r="BP382" s="4"/>
      <c r="BQ382" s="4"/>
      <c r="BR382" s="4"/>
      <c r="BS382" s="4"/>
      <c r="BT382" s="22"/>
      <c r="BU382" s="24"/>
    </row>
    <row r="383" spans="1:73" ht="73.5" customHeight="1" outlineLevel="2">
      <c r="A383" s="46" t="s">
        <v>43</v>
      </c>
      <c r="B383" s="26" t="s">
        <v>709</v>
      </c>
      <c r="C383" s="39">
        <f t="shared" si="67"/>
        <v>261.64992</v>
      </c>
      <c r="D383" s="1">
        <f t="shared" si="65"/>
        <v>175.36021</v>
      </c>
      <c r="E383" s="1">
        <f t="shared" si="66"/>
        <v>86.28971</v>
      </c>
      <c r="F383" s="22"/>
      <c r="G383" s="22"/>
      <c r="H383" s="22"/>
      <c r="I383" s="22"/>
      <c r="J383" s="22"/>
      <c r="K383" s="22"/>
      <c r="L383" s="22"/>
      <c r="M383" s="2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22"/>
      <c r="AA383" s="22"/>
      <c r="AB383" s="4">
        <v>175.36021</v>
      </c>
      <c r="AC383" s="4">
        <v>46.61826</v>
      </c>
      <c r="AD383" s="22"/>
      <c r="AE383" s="22"/>
      <c r="AF383" s="22"/>
      <c r="AG383" s="22"/>
      <c r="AH383" s="20"/>
      <c r="AI383" s="4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4"/>
      <c r="BA383" s="4"/>
      <c r="BB383" s="4"/>
      <c r="BC383" s="22"/>
      <c r="BD383" s="22">
        <v>39.67145</v>
      </c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4"/>
      <c r="BP383" s="4"/>
      <c r="BQ383" s="4"/>
      <c r="BR383" s="4"/>
      <c r="BS383" s="4"/>
      <c r="BT383" s="22"/>
      <c r="BU383" s="24"/>
    </row>
    <row r="384" spans="1:73" ht="73.5" customHeight="1" outlineLevel="2">
      <c r="A384" s="46" t="s">
        <v>43</v>
      </c>
      <c r="B384" s="26" t="s">
        <v>710</v>
      </c>
      <c r="C384" s="39">
        <f t="shared" si="67"/>
        <v>660.76343</v>
      </c>
      <c r="D384" s="1">
        <f t="shared" si="65"/>
        <v>385.33267</v>
      </c>
      <c r="E384" s="1">
        <f t="shared" si="66"/>
        <v>275.43075999999996</v>
      </c>
      <c r="F384" s="22"/>
      <c r="G384" s="22"/>
      <c r="H384" s="22"/>
      <c r="I384" s="22"/>
      <c r="J384" s="22"/>
      <c r="K384" s="22"/>
      <c r="L384" s="22"/>
      <c r="M384" s="2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22"/>
      <c r="AA384" s="22"/>
      <c r="AB384" s="4">
        <v>249.8883</v>
      </c>
      <c r="AC384" s="4">
        <v>88.5747</v>
      </c>
      <c r="AD384" s="22"/>
      <c r="AE384" s="22"/>
      <c r="AF384" s="22"/>
      <c r="AG384" s="22"/>
      <c r="AH384" s="20"/>
      <c r="AI384" s="4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4"/>
      <c r="BA384" s="4"/>
      <c r="BB384" s="4"/>
      <c r="BC384" s="22"/>
      <c r="BD384" s="22">
        <v>102.23465</v>
      </c>
      <c r="BE384" s="22"/>
      <c r="BF384" s="22">
        <v>135.44437</v>
      </c>
      <c r="BG384" s="22">
        <v>84.62141</v>
      </c>
      <c r="BH384" s="22"/>
      <c r="BI384" s="22"/>
      <c r="BJ384" s="22"/>
      <c r="BK384" s="22"/>
      <c r="BL384" s="22"/>
      <c r="BM384" s="22"/>
      <c r="BN384" s="22"/>
      <c r="BO384" s="4"/>
      <c r="BP384" s="4"/>
      <c r="BQ384" s="4"/>
      <c r="BR384" s="4"/>
      <c r="BS384" s="4"/>
      <c r="BT384" s="22"/>
      <c r="BU384" s="24"/>
    </row>
    <row r="385" spans="1:73" ht="73.5" customHeight="1" outlineLevel="2">
      <c r="A385" s="46" t="s">
        <v>43</v>
      </c>
      <c r="B385" s="26" t="s">
        <v>752</v>
      </c>
      <c r="C385" s="39">
        <f t="shared" si="67"/>
        <v>4128.64022</v>
      </c>
      <c r="D385" s="1">
        <f t="shared" si="65"/>
        <v>2327.25133</v>
      </c>
      <c r="E385" s="1">
        <f t="shared" si="66"/>
        <v>1801.3888900000002</v>
      </c>
      <c r="F385" s="22"/>
      <c r="G385" s="22"/>
      <c r="H385" s="22"/>
      <c r="I385" s="22"/>
      <c r="J385" s="22"/>
      <c r="K385" s="22"/>
      <c r="L385" s="22"/>
      <c r="M385" s="2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22">
        <v>225</v>
      </c>
      <c r="AA385" s="22">
        <v>119.4345</v>
      </c>
      <c r="AB385" s="4">
        <v>548.00065</v>
      </c>
      <c r="AC385" s="4">
        <v>116.54566</v>
      </c>
      <c r="AD385" s="22"/>
      <c r="AE385" s="22"/>
      <c r="AF385" s="22"/>
      <c r="AG385" s="22"/>
      <c r="AH385" s="20">
        <f>14.4531+16.8636</f>
        <v>31.3167</v>
      </c>
      <c r="AI385" s="4">
        <v>16.8636</v>
      </c>
      <c r="AJ385" s="22">
        <v>14.4531</v>
      </c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4"/>
      <c r="BA385" s="4"/>
      <c r="BB385" s="4"/>
      <c r="BC385" s="22"/>
      <c r="BD385" s="22"/>
      <c r="BE385" s="22"/>
      <c r="BF385" s="22">
        <v>54.25068</v>
      </c>
      <c r="BG385" s="22">
        <v>34.09203</v>
      </c>
      <c r="BH385" s="22"/>
      <c r="BI385" s="22"/>
      <c r="BJ385" s="22"/>
      <c r="BK385" s="22"/>
      <c r="BL385" s="22"/>
      <c r="BM385" s="22"/>
      <c r="BN385" s="22"/>
      <c r="BO385" s="4">
        <v>1500</v>
      </c>
      <c r="BP385" s="4">
        <v>1500</v>
      </c>
      <c r="BQ385" s="4"/>
      <c r="BR385" s="4"/>
      <c r="BS385" s="4"/>
      <c r="BT385" s="22"/>
      <c r="BU385" s="24"/>
    </row>
    <row r="386" spans="1:73" ht="73.5" customHeight="1" outlineLevel="2">
      <c r="A386" s="26" t="s">
        <v>43</v>
      </c>
      <c r="B386" s="26" t="s">
        <v>711</v>
      </c>
      <c r="C386" s="39">
        <f t="shared" si="67"/>
        <v>1080.3413799999998</v>
      </c>
      <c r="D386" s="1">
        <f t="shared" si="65"/>
        <v>772.50356</v>
      </c>
      <c r="E386" s="1">
        <f t="shared" si="66"/>
        <v>307.83781999999997</v>
      </c>
      <c r="F386" s="22"/>
      <c r="G386" s="22"/>
      <c r="H386" s="22"/>
      <c r="I386" s="22"/>
      <c r="J386" s="22"/>
      <c r="K386" s="22"/>
      <c r="L386" s="22"/>
      <c r="M386" s="22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22">
        <v>27</v>
      </c>
      <c r="AA386" s="22">
        <v>14.337</v>
      </c>
      <c r="AB386" s="23">
        <v>462.75611</v>
      </c>
      <c r="AC386" s="4">
        <v>116.54566</v>
      </c>
      <c r="AD386" s="22"/>
      <c r="AE386" s="22"/>
      <c r="AF386" s="22"/>
      <c r="AG386" s="22"/>
      <c r="AH386" s="20"/>
      <c r="AI386" s="4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4"/>
      <c r="BA386" s="4"/>
      <c r="BB386" s="4"/>
      <c r="BC386" s="22"/>
      <c r="BD386" s="22"/>
      <c r="BE386" s="22"/>
      <c r="BF386" s="22">
        <v>282.74745</v>
      </c>
      <c r="BG386" s="22">
        <v>176.95516</v>
      </c>
      <c r="BH386" s="22"/>
      <c r="BI386" s="22"/>
      <c r="BJ386" s="22"/>
      <c r="BK386" s="22"/>
      <c r="BL386" s="22"/>
      <c r="BM386" s="22"/>
      <c r="BN386" s="22"/>
      <c r="BO386" s="4"/>
      <c r="BP386" s="4"/>
      <c r="BQ386" s="4"/>
      <c r="BR386" s="4"/>
      <c r="BS386" s="4"/>
      <c r="BT386" s="22"/>
      <c r="BU386" s="24"/>
    </row>
    <row r="387" spans="1:73" ht="73.5" customHeight="1" outlineLevel="2">
      <c r="A387" s="46" t="s">
        <v>43</v>
      </c>
      <c r="B387" s="26" t="s">
        <v>712</v>
      </c>
      <c r="C387" s="39">
        <f t="shared" si="67"/>
        <v>584.99131</v>
      </c>
      <c r="D387" s="1">
        <f t="shared" si="65"/>
        <v>274.48447999999996</v>
      </c>
      <c r="E387" s="1">
        <f t="shared" si="66"/>
        <v>310.50683000000004</v>
      </c>
      <c r="F387" s="22"/>
      <c r="G387" s="22"/>
      <c r="H387" s="22"/>
      <c r="I387" s="22"/>
      <c r="J387" s="22"/>
      <c r="K387" s="22"/>
      <c r="L387" s="22"/>
      <c r="M387" s="22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22"/>
      <c r="AA387" s="22"/>
      <c r="AB387" s="23">
        <v>46.76272</v>
      </c>
      <c r="AC387" s="4">
        <v>18.64731</v>
      </c>
      <c r="AD387" s="22"/>
      <c r="AE387" s="22"/>
      <c r="AF387" s="22"/>
      <c r="AG387" s="22"/>
      <c r="AH387" s="20"/>
      <c r="AI387" s="4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>
        <v>125.51286</v>
      </c>
      <c r="AZ387" s="4">
        <v>173.73079</v>
      </c>
      <c r="BA387" s="4"/>
      <c r="BB387" s="4"/>
      <c r="BC387" s="22"/>
      <c r="BD387" s="22">
        <v>53.9952</v>
      </c>
      <c r="BE387" s="22"/>
      <c r="BF387" s="22">
        <v>102.2089</v>
      </c>
      <c r="BG387" s="22">
        <v>64.13353</v>
      </c>
      <c r="BH387" s="22"/>
      <c r="BI387" s="22"/>
      <c r="BJ387" s="22"/>
      <c r="BK387" s="22"/>
      <c r="BL387" s="22"/>
      <c r="BM387" s="22"/>
      <c r="BN387" s="22"/>
      <c r="BO387" s="4"/>
      <c r="BP387" s="4"/>
      <c r="BQ387" s="4"/>
      <c r="BR387" s="4"/>
      <c r="BS387" s="4"/>
      <c r="BT387" s="22"/>
      <c r="BU387" s="24"/>
    </row>
    <row r="388" spans="1:73" ht="73.5" customHeight="1" outlineLevel="2">
      <c r="A388" s="46" t="s">
        <v>43</v>
      </c>
      <c r="B388" s="26" t="s">
        <v>713</v>
      </c>
      <c r="C388" s="39">
        <f t="shared" si="67"/>
        <v>381.19466</v>
      </c>
      <c r="D388" s="1">
        <f t="shared" si="65"/>
        <v>271.16495</v>
      </c>
      <c r="E388" s="1">
        <f t="shared" si="66"/>
        <v>110.02971000000001</v>
      </c>
      <c r="F388" s="22"/>
      <c r="G388" s="22"/>
      <c r="H388" s="22"/>
      <c r="I388" s="22"/>
      <c r="J388" s="22"/>
      <c r="K388" s="22"/>
      <c r="L388" s="22"/>
      <c r="M388" s="22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22"/>
      <c r="AA388" s="22"/>
      <c r="AB388" s="23">
        <v>206.99811</v>
      </c>
      <c r="AC388" s="4">
        <v>69.9274</v>
      </c>
      <c r="AD388" s="22"/>
      <c r="AE388" s="22"/>
      <c r="AF388" s="22"/>
      <c r="AG388" s="22"/>
      <c r="AH388" s="20"/>
      <c r="AI388" s="4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4"/>
      <c r="BA388" s="4"/>
      <c r="BB388" s="4"/>
      <c r="BC388" s="22"/>
      <c r="BD388" s="22"/>
      <c r="BE388" s="22"/>
      <c r="BF388" s="22">
        <v>64.16684</v>
      </c>
      <c r="BG388" s="22">
        <v>40.10231</v>
      </c>
      <c r="BH388" s="22"/>
      <c r="BI388" s="22"/>
      <c r="BJ388" s="22"/>
      <c r="BK388" s="22"/>
      <c r="BL388" s="22"/>
      <c r="BM388" s="22"/>
      <c r="BN388" s="22"/>
      <c r="BO388" s="4"/>
      <c r="BP388" s="4"/>
      <c r="BQ388" s="4"/>
      <c r="BR388" s="4"/>
      <c r="BS388" s="4"/>
      <c r="BT388" s="22"/>
      <c r="BU388" s="24"/>
    </row>
    <row r="389" spans="1:73" ht="73.5" customHeight="1" outlineLevel="2">
      <c r="A389" s="46" t="s">
        <v>43</v>
      </c>
      <c r="B389" s="26" t="s">
        <v>714</v>
      </c>
      <c r="C389" s="39">
        <f t="shared" si="67"/>
        <v>45.5328</v>
      </c>
      <c r="D389" s="1">
        <f t="shared" si="65"/>
        <v>23.79416</v>
      </c>
      <c r="E389" s="1">
        <f t="shared" si="66"/>
        <v>21.73864</v>
      </c>
      <c r="F389" s="22"/>
      <c r="G389" s="22"/>
      <c r="H389" s="22"/>
      <c r="I389" s="22"/>
      <c r="J389" s="22"/>
      <c r="K389" s="22"/>
      <c r="L389" s="22"/>
      <c r="M389" s="22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22"/>
      <c r="AA389" s="22"/>
      <c r="AB389" s="23"/>
      <c r="AC389" s="4"/>
      <c r="AD389" s="22"/>
      <c r="AE389" s="22"/>
      <c r="AF389" s="22"/>
      <c r="AG389" s="22"/>
      <c r="AH389" s="20"/>
      <c r="AI389" s="4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4">
        <v>6.786</v>
      </c>
      <c r="BA389" s="4"/>
      <c r="BB389" s="4"/>
      <c r="BC389" s="22"/>
      <c r="BD389" s="22"/>
      <c r="BE389" s="22"/>
      <c r="BF389" s="22">
        <v>23.79416</v>
      </c>
      <c r="BG389" s="22">
        <v>14.95264</v>
      </c>
      <c r="BH389" s="22"/>
      <c r="BI389" s="22"/>
      <c r="BJ389" s="22"/>
      <c r="BK389" s="22"/>
      <c r="BL389" s="22"/>
      <c r="BM389" s="22"/>
      <c r="BN389" s="22"/>
      <c r="BO389" s="4"/>
      <c r="BP389" s="4"/>
      <c r="BQ389" s="4"/>
      <c r="BR389" s="4"/>
      <c r="BS389" s="4"/>
      <c r="BT389" s="22"/>
      <c r="BU389" s="24"/>
    </row>
    <row r="390" spans="1:73" ht="73.5" customHeight="1" outlineLevel="2">
      <c r="A390" s="46" t="s">
        <v>43</v>
      </c>
      <c r="B390" s="26" t="s">
        <v>715</v>
      </c>
      <c r="C390" s="39">
        <f t="shared" si="67"/>
        <v>3.5412</v>
      </c>
      <c r="D390" s="1">
        <f t="shared" si="65"/>
        <v>0</v>
      </c>
      <c r="E390" s="1">
        <f t="shared" si="66"/>
        <v>3.5412</v>
      </c>
      <c r="F390" s="22"/>
      <c r="G390" s="22"/>
      <c r="H390" s="22"/>
      <c r="I390" s="22"/>
      <c r="J390" s="22"/>
      <c r="K390" s="22"/>
      <c r="L390" s="22"/>
      <c r="M390" s="22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22"/>
      <c r="AA390" s="22"/>
      <c r="AB390" s="23"/>
      <c r="AC390" s="4"/>
      <c r="AD390" s="22"/>
      <c r="AE390" s="22"/>
      <c r="AF390" s="22"/>
      <c r="AG390" s="22"/>
      <c r="AH390" s="20"/>
      <c r="AI390" s="4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4">
        <v>3.5412</v>
      </c>
      <c r="BA390" s="4"/>
      <c r="BB390" s="4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4"/>
      <c r="BP390" s="4"/>
      <c r="BQ390" s="4"/>
      <c r="BR390" s="4"/>
      <c r="BS390" s="4"/>
      <c r="BT390" s="22"/>
      <c r="BU390" s="24"/>
    </row>
    <row r="391" spans="1:73" ht="73.5" customHeight="1" outlineLevel="2">
      <c r="A391" s="46" t="s">
        <v>43</v>
      </c>
      <c r="B391" s="26" t="s">
        <v>716</v>
      </c>
      <c r="C391" s="39">
        <f t="shared" si="67"/>
        <v>745.90711</v>
      </c>
      <c r="D391" s="1">
        <f t="shared" si="65"/>
        <v>459.80946</v>
      </c>
      <c r="E391" s="1">
        <f t="shared" si="66"/>
        <v>286.09765</v>
      </c>
      <c r="F391" s="22"/>
      <c r="G391" s="22"/>
      <c r="H391" s="22"/>
      <c r="I391" s="22"/>
      <c r="J391" s="22"/>
      <c r="K391" s="22"/>
      <c r="L391" s="22"/>
      <c r="M391" s="22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22">
        <v>17.37579</v>
      </c>
      <c r="AA391" s="22">
        <v>23.895</v>
      </c>
      <c r="AB391" s="23">
        <v>290.6839</v>
      </c>
      <c r="AC391" s="4">
        <v>89.74016</v>
      </c>
      <c r="AD391" s="22"/>
      <c r="AE391" s="22"/>
      <c r="AF391" s="22"/>
      <c r="AG391" s="22"/>
      <c r="AH391" s="20">
        <f>31.54655+44.9696</f>
        <v>76.51615</v>
      </c>
      <c r="AI391" s="4">
        <v>44.9696</v>
      </c>
      <c r="AJ391" s="22">
        <v>31.54655</v>
      </c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4">
        <v>0.9568</v>
      </c>
      <c r="BA391" s="4"/>
      <c r="BB391" s="4"/>
      <c r="BC391" s="22"/>
      <c r="BD391" s="22"/>
      <c r="BE391" s="22"/>
      <c r="BF391" s="22">
        <v>151.74977</v>
      </c>
      <c r="BG391" s="22">
        <v>94.98954</v>
      </c>
      <c r="BH391" s="22"/>
      <c r="BI391" s="22"/>
      <c r="BJ391" s="22"/>
      <c r="BK391" s="22"/>
      <c r="BL391" s="22"/>
      <c r="BM391" s="22"/>
      <c r="BN391" s="22"/>
      <c r="BO391" s="4"/>
      <c r="BP391" s="4"/>
      <c r="BQ391" s="4"/>
      <c r="BR391" s="4"/>
      <c r="BS391" s="4"/>
      <c r="BT391" s="22"/>
      <c r="BU391" s="24"/>
    </row>
    <row r="392" spans="1:73" ht="73.5" customHeight="1" outlineLevel="2">
      <c r="A392" s="46" t="s">
        <v>43</v>
      </c>
      <c r="B392" s="26" t="s">
        <v>717</v>
      </c>
      <c r="C392" s="39">
        <f t="shared" si="67"/>
        <v>759.84043</v>
      </c>
      <c r="D392" s="1">
        <f t="shared" si="65"/>
        <v>468.76564</v>
      </c>
      <c r="E392" s="1">
        <f t="shared" si="66"/>
        <v>291.07479</v>
      </c>
      <c r="F392" s="22"/>
      <c r="G392" s="22"/>
      <c r="H392" s="22"/>
      <c r="I392" s="22"/>
      <c r="J392" s="22"/>
      <c r="K392" s="22"/>
      <c r="L392" s="22"/>
      <c r="M392" s="22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22"/>
      <c r="AA392" s="22">
        <v>18.063</v>
      </c>
      <c r="AB392" s="23">
        <v>328.1915</v>
      </c>
      <c r="AC392" s="4">
        <v>114.21475</v>
      </c>
      <c r="AD392" s="22"/>
      <c r="AE392" s="22"/>
      <c r="AF392" s="22"/>
      <c r="AG392" s="22"/>
      <c r="AH392" s="20"/>
      <c r="AI392" s="4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4"/>
      <c r="BA392" s="4"/>
      <c r="BB392" s="4"/>
      <c r="BC392" s="22"/>
      <c r="BD392" s="22"/>
      <c r="BE392" s="22">
        <v>70.81399</v>
      </c>
      <c r="BF392" s="22">
        <v>140.57414</v>
      </c>
      <c r="BG392" s="22">
        <v>87.98305</v>
      </c>
      <c r="BH392" s="22"/>
      <c r="BI392" s="22"/>
      <c r="BJ392" s="22"/>
      <c r="BK392" s="22"/>
      <c r="BL392" s="22"/>
      <c r="BM392" s="22"/>
      <c r="BN392" s="22"/>
      <c r="BO392" s="4"/>
      <c r="BP392" s="4"/>
      <c r="BQ392" s="4"/>
      <c r="BR392" s="4"/>
      <c r="BS392" s="4"/>
      <c r="BT392" s="22"/>
      <c r="BU392" s="24"/>
    </row>
    <row r="393" spans="1:73" ht="73.5" customHeight="1" outlineLevel="2">
      <c r="A393" s="46" t="s">
        <v>43</v>
      </c>
      <c r="B393" s="26" t="s">
        <v>718</v>
      </c>
      <c r="C393" s="39">
        <f t="shared" si="67"/>
        <v>213.40964000000002</v>
      </c>
      <c r="D393" s="1">
        <f t="shared" si="65"/>
        <v>142.7381</v>
      </c>
      <c r="E393" s="1">
        <f t="shared" si="66"/>
        <v>70.67154000000001</v>
      </c>
      <c r="F393" s="22"/>
      <c r="G393" s="22"/>
      <c r="H393" s="22"/>
      <c r="I393" s="22"/>
      <c r="J393" s="22"/>
      <c r="K393" s="22"/>
      <c r="L393" s="22"/>
      <c r="M393" s="22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22"/>
      <c r="AA393" s="22"/>
      <c r="AB393" s="23">
        <v>71.78809</v>
      </c>
      <c r="AC393" s="4">
        <v>26.22277</v>
      </c>
      <c r="AD393" s="22"/>
      <c r="AE393" s="22"/>
      <c r="AF393" s="22"/>
      <c r="AG393" s="22"/>
      <c r="AH393" s="20"/>
      <c r="AI393" s="4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4"/>
      <c r="BA393" s="4"/>
      <c r="BB393" s="4"/>
      <c r="BC393" s="22"/>
      <c r="BD393" s="22"/>
      <c r="BE393" s="22"/>
      <c r="BF393" s="22">
        <v>70.95001</v>
      </c>
      <c r="BG393" s="22">
        <v>44.44877</v>
      </c>
      <c r="BH393" s="22"/>
      <c r="BI393" s="22"/>
      <c r="BJ393" s="22"/>
      <c r="BK393" s="22"/>
      <c r="BL393" s="22"/>
      <c r="BM393" s="22"/>
      <c r="BN393" s="22"/>
      <c r="BO393" s="4"/>
      <c r="BP393" s="4"/>
      <c r="BQ393" s="4"/>
      <c r="BR393" s="4"/>
      <c r="BS393" s="4"/>
      <c r="BT393" s="22"/>
      <c r="BU393" s="24"/>
    </row>
    <row r="394" spans="1:73" ht="73.5" customHeight="1" outlineLevel="2">
      <c r="A394" s="46" t="s">
        <v>43</v>
      </c>
      <c r="B394" s="26" t="s">
        <v>813</v>
      </c>
      <c r="C394" s="39">
        <f>D394+E394</f>
        <v>2791.8</v>
      </c>
      <c r="D394" s="1">
        <f t="shared" si="65"/>
        <v>1217.75939</v>
      </c>
      <c r="E394" s="1">
        <f t="shared" si="66"/>
        <v>1574.04061</v>
      </c>
      <c r="F394" s="22"/>
      <c r="G394" s="22"/>
      <c r="H394" s="22"/>
      <c r="I394" s="22"/>
      <c r="J394" s="22"/>
      <c r="K394" s="22"/>
      <c r="L394" s="22"/>
      <c r="M394" s="22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22"/>
      <c r="AA394" s="22"/>
      <c r="AB394" s="23"/>
      <c r="AC394" s="4"/>
      <c r="AD394" s="22"/>
      <c r="AE394" s="22"/>
      <c r="AF394" s="22"/>
      <c r="AG394" s="22"/>
      <c r="AH394" s="20"/>
      <c r="AI394" s="4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4"/>
      <c r="BA394" s="4"/>
      <c r="BB394" s="4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4">
        <v>1217.75939</v>
      </c>
      <c r="BP394" s="4">
        <v>1574.04061</v>
      </c>
      <c r="BQ394" s="4"/>
      <c r="BR394" s="4"/>
      <c r="BS394" s="4"/>
      <c r="BT394" s="22"/>
      <c r="BU394" s="24"/>
    </row>
    <row r="395" spans="1:73" ht="73.5" customHeight="1" outlineLevel="2">
      <c r="A395" s="46" t="s">
        <v>43</v>
      </c>
      <c r="B395" s="26" t="s">
        <v>719</v>
      </c>
      <c r="C395" s="39">
        <f t="shared" si="67"/>
        <v>546.54502</v>
      </c>
      <c r="D395" s="1">
        <f t="shared" si="65"/>
        <v>411.22881</v>
      </c>
      <c r="E395" s="1">
        <f t="shared" si="66"/>
        <v>135.31621</v>
      </c>
      <c r="F395" s="22"/>
      <c r="G395" s="22"/>
      <c r="H395" s="22"/>
      <c r="I395" s="22"/>
      <c r="J395" s="22"/>
      <c r="K395" s="22"/>
      <c r="L395" s="22"/>
      <c r="M395" s="22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22"/>
      <c r="AA395" s="22"/>
      <c r="AB395" s="23">
        <v>306.88037</v>
      </c>
      <c r="AC395" s="4">
        <v>69.9274</v>
      </c>
      <c r="AD395" s="22"/>
      <c r="AE395" s="22"/>
      <c r="AF395" s="22"/>
      <c r="AG395" s="22"/>
      <c r="AH395" s="20"/>
      <c r="AI395" s="4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4"/>
      <c r="BA395" s="4"/>
      <c r="BB395" s="4"/>
      <c r="BC395" s="22"/>
      <c r="BD395" s="22"/>
      <c r="BE395" s="22"/>
      <c r="BF395" s="22">
        <v>104.34844</v>
      </c>
      <c r="BG395" s="22">
        <v>65.38881</v>
      </c>
      <c r="BH395" s="22"/>
      <c r="BI395" s="22"/>
      <c r="BJ395" s="22"/>
      <c r="BK395" s="22"/>
      <c r="BL395" s="22"/>
      <c r="BM395" s="22"/>
      <c r="BN395" s="22"/>
      <c r="BO395" s="4"/>
      <c r="BP395" s="4"/>
      <c r="BQ395" s="4"/>
      <c r="BR395" s="4"/>
      <c r="BS395" s="4"/>
      <c r="BT395" s="22"/>
      <c r="BU395" s="24"/>
    </row>
    <row r="396" spans="1:73" ht="73.5" customHeight="1" outlineLevel="2">
      <c r="A396" s="46" t="s">
        <v>43</v>
      </c>
      <c r="B396" s="26" t="s">
        <v>720</v>
      </c>
      <c r="C396" s="39">
        <f t="shared" si="67"/>
        <v>455.3692</v>
      </c>
      <c r="D396" s="1">
        <f t="shared" si="65"/>
        <v>344.73902999999996</v>
      </c>
      <c r="E396" s="1">
        <f t="shared" si="66"/>
        <v>110.63017</v>
      </c>
      <c r="F396" s="22"/>
      <c r="G396" s="22"/>
      <c r="H396" s="22"/>
      <c r="I396" s="22"/>
      <c r="J396" s="22"/>
      <c r="K396" s="22"/>
      <c r="L396" s="22"/>
      <c r="M396" s="22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22"/>
      <c r="AA396" s="22"/>
      <c r="AB396" s="23">
        <v>279.84567</v>
      </c>
      <c r="AC396" s="4">
        <v>69.9274</v>
      </c>
      <c r="AD396" s="22"/>
      <c r="AE396" s="22"/>
      <c r="AF396" s="22"/>
      <c r="AG396" s="22"/>
      <c r="AH396" s="20"/>
      <c r="AI396" s="4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4"/>
      <c r="BA396" s="4"/>
      <c r="BB396" s="4"/>
      <c r="BC396" s="22"/>
      <c r="BD396" s="22"/>
      <c r="BE396" s="22"/>
      <c r="BF396" s="22">
        <v>64.89336</v>
      </c>
      <c r="BG396" s="22">
        <v>40.70277</v>
      </c>
      <c r="BH396" s="22"/>
      <c r="BI396" s="22"/>
      <c r="BJ396" s="22"/>
      <c r="BK396" s="22"/>
      <c r="BL396" s="22"/>
      <c r="BM396" s="22"/>
      <c r="BN396" s="22"/>
      <c r="BO396" s="4"/>
      <c r="BP396" s="4"/>
      <c r="BQ396" s="4"/>
      <c r="BR396" s="4"/>
      <c r="BS396" s="4"/>
      <c r="BT396" s="22"/>
      <c r="BU396" s="24"/>
    </row>
    <row r="397" spans="1:73" ht="73.5" customHeight="1" outlineLevel="2">
      <c r="A397" s="46" t="s">
        <v>43</v>
      </c>
      <c r="B397" s="26" t="s">
        <v>721</v>
      </c>
      <c r="C397" s="39">
        <f t="shared" si="67"/>
        <v>82.97764000000001</v>
      </c>
      <c r="D397" s="1">
        <f t="shared" si="65"/>
        <v>57.03004</v>
      </c>
      <c r="E397" s="1">
        <f t="shared" si="66"/>
        <v>25.9476</v>
      </c>
      <c r="F397" s="22"/>
      <c r="G397" s="22"/>
      <c r="H397" s="22"/>
      <c r="I397" s="22"/>
      <c r="J397" s="22"/>
      <c r="K397" s="22"/>
      <c r="L397" s="22"/>
      <c r="M397" s="22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22"/>
      <c r="AA397" s="22"/>
      <c r="AB397" s="23">
        <v>37.99471</v>
      </c>
      <c r="AC397" s="4">
        <v>13.98548</v>
      </c>
      <c r="AD397" s="22"/>
      <c r="AE397" s="22"/>
      <c r="AF397" s="22"/>
      <c r="AG397" s="22"/>
      <c r="AH397" s="20"/>
      <c r="AI397" s="4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4"/>
      <c r="BA397" s="4"/>
      <c r="BB397" s="4"/>
      <c r="BC397" s="22"/>
      <c r="BD397" s="22"/>
      <c r="BE397" s="22"/>
      <c r="BF397" s="22">
        <v>19.03533</v>
      </c>
      <c r="BG397" s="22">
        <v>11.96212</v>
      </c>
      <c r="BH397" s="22"/>
      <c r="BI397" s="22"/>
      <c r="BJ397" s="22"/>
      <c r="BK397" s="22"/>
      <c r="BL397" s="22"/>
      <c r="BM397" s="22"/>
      <c r="BN397" s="22"/>
      <c r="BO397" s="4"/>
      <c r="BP397" s="4"/>
      <c r="BQ397" s="4"/>
      <c r="BR397" s="4"/>
      <c r="BS397" s="4"/>
      <c r="BT397" s="22"/>
      <c r="BU397" s="24"/>
    </row>
    <row r="398" spans="1:73" ht="73.5" customHeight="1" outlineLevel="2">
      <c r="A398" s="46" t="s">
        <v>43</v>
      </c>
      <c r="B398" s="26" t="s">
        <v>821</v>
      </c>
      <c r="C398" s="39">
        <f>D398+E398</f>
        <v>415.55714</v>
      </c>
      <c r="D398" s="1">
        <f t="shared" si="65"/>
        <v>281.06345</v>
      </c>
      <c r="E398" s="1">
        <f t="shared" si="66"/>
        <v>134.49369</v>
      </c>
      <c r="F398" s="22"/>
      <c r="G398" s="22"/>
      <c r="H398" s="22"/>
      <c r="I398" s="22"/>
      <c r="J398" s="22"/>
      <c r="K398" s="22"/>
      <c r="L398" s="22"/>
      <c r="M398" s="22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22"/>
      <c r="AA398" s="22"/>
      <c r="AB398" s="23">
        <v>281.06345</v>
      </c>
      <c r="AC398" s="4">
        <v>134.49369</v>
      </c>
      <c r="AD398" s="22"/>
      <c r="AE398" s="22"/>
      <c r="AF398" s="22"/>
      <c r="AG398" s="22"/>
      <c r="AH398" s="20"/>
      <c r="AI398" s="4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4"/>
      <c r="BA398" s="4"/>
      <c r="BB398" s="4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4"/>
      <c r="BP398" s="4"/>
      <c r="BQ398" s="4"/>
      <c r="BR398" s="4"/>
      <c r="BS398" s="4"/>
      <c r="BT398" s="22"/>
      <c r="BU398" s="24"/>
    </row>
    <row r="399" spans="1:73" ht="73.5" customHeight="1" outlineLevel="2">
      <c r="A399" s="46" t="s">
        <v>43</v>
      </c>
      <c r="B399" s="26" t="s">
        <v>722</v>
      </c>
      <c r="C399" s="39">
        <f t="shared" si="67"/>
        <v>795.2708299999999</v>
      </c>
      <c r="D399" s="1">
        <f t="shared" si="65"/>
        <v>489.23622</v>
      </c>
      <c r="E399" s="1">
        <f t="shared" si="66"/>
        <v>306.03461</v>
      </c>
      <c r="F399" s="22"/>
      <c r="G399" s="22"/>
      <c r="H399" s="22"/>
      <c r="I399" s="22"/>
      <c r="J399" s="22"/>
      <c r="K399" s="22"/>
      <c r="L399" s="22"/>
      <c r="M399" s="22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22"/>
      <c r="AA399" s="22"/>
      <c r="AB399" s="23"/>
      <c r="AC399" s="4"/>
      <c r="AD399" s="22"/>
      <c r="AE399" s="22"/>
      <c r="AF399" s="22"/>
      <c r="AG399" s="22"/>
      <c r="AH399" s="20"/>
      <c r="AI399" s="4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4"/>
      <c r="BA399" s="4"/>
      <c r="BB399" s="4"/>
      <c r="BC399" s="22"/>
      <c r="BD399" s="22"/>
      <c r="BE399" s="22"/>
      <c r="BF399" s="22">
        <v>489.23622</v>
      </c>
      <c r="BG399" s="22">
        <v>306.03461</v>
      </c>
      <c r="BH399" s="22"/>
      <c r="BI399" s="22"/>
      <c r="BJ399" s="22"/>
      <c r="BK399" s="22"/>
      <c r="BL399" s="22"/>
      <c r="BM399" s="22"/>
      <c r="BN399" s="22"/>
      <c r="BO399" s="4"/>
      <c r="BP399" s="4"/>
      <c r="BQ399" s="4"/>
      <c r="BR399" s="4"/>
      <c r="BS399" s="4"/>
      <c r="BT399" s="22"/>
      <c r="BU399" s="24"/>
    </row>
    <row r="400" spans="1:73" ht="73.5" customHeight="1" outlineLevel="2">
      <c r="A400" s="26" t="s">
        <v>43</v>
      </c>
      <c r="B400" s="26" t="s">
        <v>723</v>
      </c>
      <c r="C400" s="39">
        <f t="shared" si="67"/>
        <v>1730.13259</v>
      </c>
      <c r="D400" s="1">
        <f t="shared" si="65"/>
        <v>1082.26373</v>
      </c>
      <c r="E400" s="1">
        <f t="shared" si="66"/>
        <v>647.86886</v>
      </c>
      <c r="F400" s="22"/>
      <c r="G400" s="22"/>
      <c r="H400" s="22"/>
      <c r="I400" s="22"/>
      <c r="J400" s="22"/>
      <c r="K400" s="22"/>
      <c r="L400" s="22"/>
      <c r="M400" s="22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22"/>
      <c r="AA400" s="22"/>
      <c r="AB400" s="23">
        <v>587.70026</v>
      </c>
      <c r="AC400" s="4">
        <v>148.01299</v>
      </c>
      <c r="AD400" s="22"/>
      <c r="AE400" s="22"/>
      <c r="AF400" s="22"/>
      <c r="AG400" s="22"/>
      <c r="AH400" s="20">
        <f>31.54655+56.212</f>
        <v>87.75855</v>
      </c>
      <c r="AI400" s="4">
        <v>56.212</v>
      </c>
      <c r="AJ400" s="22">
        <v>31.54655</v>
      </c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>
        <v>228.50153</v>
      </c>
      <c r="AZ400" s="4">
        <v>245.57159</v>
      </c>
      <c r="BA400" s="4"/>
      <c r="BB400" s="4"/>
      <c r="BC400" s="22"/>
      <c r="BD400" s="22"/>
      <c r="BE400" s="22"/>
      <c r="BF400" s="22">
        <v>266.06194</v>
      </c>
      <c r="BG400" s="22">
        <v>166.52573</v>
      </c>
      <c r="BH400" s="22"/>
      <c r="BI400" s="22"/>
      <c r="BJ400" s="22"/>
      <c r="BK400" s="22"/>
      <c r="BL400" s="22"/>
      <c r="BM400" s="22"/>
      <c r="BN400" s="22"/>
      <c r="BO400" s="4"/>
      <c r="BP400" s="4"/>
      <c r="BQ400" s="4"/>
      <c r="BR400" s="4"/>
      <c r="BS400" s="4"/>
      <c r="BT400" s="22"/>
      <c r="BU400" s="24"/>
    </row>
    <row r="401" spans="1:73" ht="73.5" customHeight="1" outlineLevel="2">
      <c r="A401" s="26" t="s">
        <v>43</v>
      </c>
      <c r="B401" s="26" t="s">
        <v>724</v>
      </c>
      <c r="C401" s="39">
        <f t="shared" si="67"/>
        <v>127.84831</v>
      </c>
      <c r="D401" s="1">
        <f t="shared" si="65"/>
        <v>87.37188</v>
      </c>
      <c r="E401" s="1">
        <f t="shared" si="66"/>
        <v>40.47643</v>
      </c>
      <c r="F401" s="22"/>
      <c r="G401" s="22"/>
      <c r="H401" s="22"/>
      <c r="I401" s="22"/>
      <c r="J401" s="22"/>
      <c r="K401" s="22"/>
      <c r="L401" s="22"/>
      <c r="M401" s="22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22"/>
      <c r="AA401" s="22"/>
      <c r="AB401" s="23">
        <v>45.94072</v>
      </c>
      <c r="AC401" s="4">
        <v>14.56821</v>
      </c>
      <c r="AD401" s="22"/>
      <c r="AE401" s="22"/>
      <c r="AF401" s="22"/>
      <c r="AG401" s="22"/>
      <c r="AH401" s="20"/>
      <c r="AI401" s="4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4"/>
      <c r="BA401" s="4"/>
      <c r="BB401" s="4"/>
      <c r="BC401" s="22"/>
      <c r="BD401" s="22"/>
      <c r="BE401" s="22"/>
      <c r="BF401" s="22">
        <v>41.43116</v>
      </c>
      <c r="BG401" s="22">
        <v>25.90822</v>
      </c>
      <c r="BH401" s="22"/>
      <c r="BI401" s="22"/>
      <c r="BJ401" s="22"/>
      <c r="BK401" s="22"/>
      <c r="BL401" s="22"/>
      <c r="BM401" s="22"/>
      <c r="BN401" s="22"/>
      <c r="BO401" s="4"/>
      <c r="BP401" s="4"/>
      <c r="BQ401" s="4"/>
      <c r="BR401" s="4"/>
      <c r="BS401" s="4"/>
      <c r="BT401" s="22"/>
      <c r="BU401" s="24"/>
    </row>
    <row r="402" spans="1:73" ht="73.5" customHeight="1" outlineLevel="2">
      <c r="A402" s="26" t="s">
        <v>43</v>
      </c>
      <c r="B402" s="26" t="s">
        <v>725</v>
      </c>
      <c r="C402" s="39">
        <f t="shared" si="67"/>
        <v>174.32576</v>
      </c>
      <c r="D402" s="1">
        <f t="shared" si="65"/>
        <v>103.64366000000001</v>
      </c>
      <c r="E402" s="1">
        <f t="shared" si="66"/>
        <v>70.6821</v>
      </c>
      <c r="F402" s="22"/>
      <c r="G402" s="22"/>
      <c r="H402" s="22"/>
      <c r="I402" s="22"/>
      <c r="J402" s="22"/>
      <c r="K402" s="22"/>
      <c r="L402" s="22"/>
      <c r="M402" s="22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22"/>
      <c r="AA402" s="22"/>
      <c r="AB402" s="23">
        <v>53.48973</v>
      </c>
      <c r="AC402" s="4">
        <v>18.41421</v>
      </c>
      <c r="AD402" s="22"/>
      <c r="AE402" s="22"/>
      <c r="AF402" s="22"/>
      <c r="AG402" s="22"/>
      <c r="AH402" s="20">
        <f>9.6354+11.2424</f>
        <v>20.8778</v>
      </c>
      <c r="AI402" s="4">
        <v>11.2424</v>
      </c>
      <c r="AJ402" s="22">
        <v>9.6354</v>
      </c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4"/>
      <c r="BA402" s="4"/>
      <c r="BB402" s="4"/>
      <c r="BC402" s="22"/>
      <c r="BD402" s="22"/>
      <c r="BE402" s="22"/>
      <c r="BF402" s="22">
        <v>50.15393</v>
      </c>
      <c r="BG402" s="22">
        <v>31.39009</v>
      </c>
      <c r="BH402" s="22"/>
      <c r="BI402" s="22"/>
      <c r="BJ402" s="22"/>
      <c r="BK402" s="22"/>
      <c r="BL402" s="22"/>
      <c r="BM402" s="22"/>
      <c r="BN402" s="22"/>
      <c r="BO402" s="4"/>
      <c r="BP402" s="4"/>
      <c r="BQ402" s="4"/>
      <c r="BR402" s="4"/>
      <c r="BS402" s="4"/>
      <c r="BT402" s="22"/>
      <c r="BU402" s="24"/>
    </row>
    <row r="403" spans="1:73" ht="73.5" customHeight="1" outlineLevel="2" thickBot="1">
      <c r="A403" s="46" t="s">
        <v>43</v>
      </c>
      <c r="B403" s="26" t="s">
        <v>483</v>
      </c>
      <c r="C403" s="39">
        <f t="shared" si="67"/>
        <v>1051.32</v>
      </c>
      <c r="D403" s="1">
        <f t="shared" si="65"/>
        <v>0</v>
      </c>
      <c r="E403" s="1">
        <f t="shared" si="66"/>
        <v>1051.32</v>
      </c>
      <c r="F403" s="22"/>
      <c r="G403" s="22"/>
      <c r="H403" s="22"/>
      <c r="I403" s="22"/>
      <c r="J403" s="22"/>
      <c r="K403" s="22"/>
      <c r="L403" s="22"/>
      <c r="M403" s="22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22"/>
      <c r="AA403" s="22"/>
      <c r="AB403" s="4"/>
      <c r="AC403" s="4"/>
      <c r="AD403" s="22"/>
      <c r="AE403" s="22"/>
      <c r="AF403" s="22"/>
      <c r="AG403" s="22"/>
      <c r="AH403" s="20"/>
      <c r="AI403" s="4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4"/>
      <c r="BA403" s="4"/>
      <c r="BB403" s="4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>
        <v>1051.32</v>
      </c>
      <c r="BN403" s="22"/>
      <c r="BO403" s="4"/>
      <c r="BP403" s="4"/>
      <c r="BQ403" s="4"/>
      <c r="BR403" s="4"/>
      <c r="BS403" s="4"/>
      <c r="BT403" s="22"/>
      <c r="BU403" s="24"/>
    </row>
    <row r="404" spans="1:74" s="35" customFormat="1" ht="73.5" customHeight="1" outlineLevel="1" thickBot="1">
      <c r="A404" s="29" t="s">
        <v>140</v>
      </c>
      <c r="B404" s="54"/>
      <c r="C404" s="31">
        <f aca="true" t="shared" si="68" ref="C404:BN404">SUBTOTAL(9,C380:C403)</f>
        <v>21983.619200000005</v>
      </c>
      <c r="D404" s="31">
        <f t="shared" si="68"/>
        <v>12313.149270000002</v>
      </c>
      <c r="E404" s="31">
        <f t="shared" si="68"/>
        <v>9670.46993</v>
      </c>
      <c r="F404" s="31">
        <f t="shared" si="68"/>
        <v>0</v>
      </c>
      <c r="G404" s="31">
        <f t="shared" si="68"/>
        <v>0</v>
      </c>
      <c r="H404" s="31">
        <f t="shared" si="68"/>
        <v>0</v>
      </c>
      <c r="I404" s="31">
        <f t="shared" si="68"/>
        <v>0</v>
      </c>
      <c r="J404" s="31">
        <f t="shared" si="68"/>
        <v>0</v>
      </c>
      <c r="K404" s="31">
        <f t="shared" si="68"/>
        <v>0</v>
      </c>
      <c r="L404" s="31">
        <f t="shared" si="68"/>
        <v>0</v>
      </c>
      <c r="M404" s="31">
        <f t="shared" si="68"/>
        <v>0</v>
      </c>
      <c r="N404" s="31">
        <f t="shared" si="68"/>
        <v>0</v>
      </c>
      <c r="O404" s="31">
        <f t="shared" si="68"/>
        <v>0</v>
      </c>
      <c r="P404" s="31">
        <f t="shared" si="68"/>
        <v>0</v>
      </c>
      <c r="Q404" s="31">
        <f t="shared" si="68"/>
        <v>0</v>
      </c>
      <c r="R404" s="31">
        <f t="shared" si="68"/>
        <v>0</v>
      </c>
      <c r="S404" s="31">
        <f t="shared" si="68"/>
        <v>0</v>
      </c>
      <c r="T404" s="31">
        <f t="shared" si="68"/>
        <v>0</v>
      </c>
      <c r="U404" s="31">
        <f t="shared" si="68"/>
        <v>0</v>
      </c>
      <c r="V404" s="31">
        <f t="shared" si="68"/>
        <v>0</v>
      </c>
      <c r="W404" s="31">
        <f t="shared" si="68"/>
        <v>0</v>
      </c>
      <c r="X404" s="31">
        <f t="shared" si="68"/>
        <v>0</v>
      </c>
      <c r="Y404" s="31">
        <f t="shared" si="68"/>
        <v>0</v>
      </c>
      <c r="Z404" s="31">
        <f t="shared" si="68"/>
        <v>269.37579</v>
      </c>
      <c r="AA404" s="31">
        <f t="shared" si="68"/>
        <v>175.7295</v>
      </c>
      <c r="AB404" s="31">
        <f t="shared" si="68"/>
        <v>4866.810849999999</v>
      </c>
      <c r="AC404" s="31">
        <f t="shared" si="68"/>
        <v>1469.87387</v>
      </c>
      <c r="AD404" s="31">
        <f t="shared" si="68"/>
        <v>0</v>
      </c>
      <c r="AE404" s="31">
        <f t="shared" si="68"/>
        <v>0</v>
      </c>
      <c r="AF404" s="31">
        <f t="shared" si="68"/>
        <v>0</v>
      </c>
      <c r="AG404" s="31">
        <f t="shared" si="68"/>
        <v>0</v>
      </c>
      <c r="AH404" s="31">
        <f t="shared" si="68"/>
        <v>216.4692</v>
      </c>
      <c r="AI404" s="31">
        <f t="shared" si="68"/>
        <v>129.2876</v>
      </c>
      <c r="AJ404" s="31">
        <f t="shared" si="68"/>
        <v>87.1816</v>
      </c>
      <c r="AK404" s="31">
        <f t="shared" si="68"/>
        <v>0</v>
      </c>
      <c r="AL404" s="31">
        <f t="shared" si="68"/>
        <v>0</v>
      </c>
      <c r="AM404" s="31">
        <f t="shared" si="68"/>
        <v>0</v>
      </c>
      <c r="AN404" s="31">
        <f t="shared" si="68"/>
        <v>0</v>
      </c>
      <c r="AO404" s="31">
        <f t="shared" si="68"/>
        <v>0</v>
      </c>
      <c r="AP404" s="31">
        <f t="shared" si="68"/>
        <v>0</v>
      </c>
      <c r="AQ404" s="31">
        <f t="shared" si="68"/>
        <v>0</v>
      </c>
      <c r="AR404" s="31">
        <f t="shared" si="68"/>
        <v>0</v>
      </c>
      <c r="AS404" s="31">
        <f t="shared" si="68"/>
        <v>0</v>
      </c>
      <c r="AT404" s="31">
        <f t="shared" si="68"/>
        <v>0</v>
      </c>
      <c r="AU404" s="31">
        <f t="shared" si="68"/>
        <v>0</v>
      </c>
      <c r="AV404" s="31">
        <f t="shared" si="68"/>
        <v>0</v>
      </c>
      <c r="AW404" s="31">
        <f t="shared" si="68"/>
        <v>0</v>
      </c>
      <c r="AX404" s="31">
        <f t="shared" si="68"/>
        <v>0</v>
      </c>
      <c r="AY404" s="31">
        <f t="shared" si="68"/>
        <v>1215.11155</v>
      </c>
      <c r="AZ404" s="31">
        <f t="shared" si="68"/>
        <v>1706.2072999999998</v>
      </c>
      <c r="BA404" s="31">
        <f t="shared" si="68"/>
        <v>0</v>
      </c>
      <c r="BB404" s="31">
        <f t="shared" si="68"/>
        <v>0</v>
      </c>
      <c r="BC404" s="31">
        <f t="shared" si="68"/>
        <v>0</v>
      </c>
      <c r="BD404" s="31">
        <f t="shared" si="68"/>
        <v>195.9013</v>
      </c>
      <c r="BE404" s="31">
        <f t="shared" si="68"/>
        <v>70.81399</v>
      </c>
      <c r="BF404" s="31">
        <f t="shared" si="68"/>
        <v>3244.091690000001</v>
      </c>
      <c r="BG404" s="31">
        <f t="shared" si="68"/>
        <v>1710.11416</v>
      </c>
      <c r="BH404" s="31">
        <f t="shared" si="68"/>
        <v>0</v>
      </c>
      <c r="BI404" s="31">
        <f t="shared" si="68"/>
        <v>0</v>
      </c>
      <c r="BJ404" s="31">
        <f t="shared" si="68"/>
        <v>0</v>
      </c>
      <c r="BK404" s="31">
        <f t="shared" si="68"/>
        <v>0</v>
      </c>
      <c r="BL404" s="31">
        <f t="shared" si="68"/>
        <v>0</v>
      </c>
      <c r="BM404" s="31">
        <f t="shared" si="68"/>
        <v>1051.32</v>
      </c>
      <c r="BN404" s="31">
        <f t="shared" si="68"/>
        <v>0</v>
      </c>
      <c r="BO404" s="31">
        <f aca="true" t="shared" si="69" ref="BO404:BT404">SUBTOTAL(9,BO380:BO403)</f>
        <v>2717.75939</v>
      </c>
      <c r="BP404" s="31">
        <f t="shared" si="69"/>
        <v>3074.04061</v>
      </c>
      <c r="BQ404" s="31">
        <f t="shared" si="69"/>
        <v>0</v>
      </c>
      <c r="BR404" s="31">
        <f t="shared" si="69"/>
        <v>0</v>
      </c>
      <c r="BS404" s="32">
        <f t="shared" si="69"/>
        <v>0</v>
      </c>
      <c r="BT404" s="32">
        <f t="shared" si="69"/>
        <v>0</v>
      </c>
      <c r="BU404" s="33"/>
      <c r="BV404" s="34"/>
    </row>
    <row r="405" spans="1:73" ht="73.5" customHeight="1" outlineLevel="2">
      <c r="A405" s="36" t="s">
        <v>141</v>
      </c>
      <c r="B405" s="52" t="s">
        <v>180</v>
      </c>
      <c r="C405" s="39">
        <f>D405+E405</f>
        <v>2602.2597100000003</v>
      </c>
      <c r="D405" s="1">
        <f aca="true" t="shared" si="70" ref="D405:D457">F405+J405+N405+R405+T405+Z405+AB405+AD405+AF405+AM405+AO405+AT405+AY405+BF405+BO405+BS405+H405+V405+X405+BQ405+AR405+BH405</f>
        <v>743.5355400000001</v>
      </c>
      <c r="E405" s="1">
        <f aca="true" t="shared" si="71" ref="E405:E457">G405+I405+K405+L405+M405+O405+P405+Q405+S405+U405+W405+Y405+AA405+AC405+AE405+AG405+AH405+AK405+AL405+AN405+AP405+AQ405+AS405+AU405+AV405+AW405+AX405+AZ405+BA405+BB405+BC405+BD405+BE405+BG405+BI405+BJ405+BK405+BL405+BM405+BN405+BU405+BP405+BR405+BT405</f>
        <v>1858.72417</v>
      </c>
      <c r="F405" s="40"/>
      <c r="G405" s="40"/>
      <c r="H405" s="40"/>
      <c r="I405" s="40"/>
      <c r="J405" s="40"/>
      <c r="K405" s="40"/>
      <c r="L405" s="40"/>
      <c r="M405" s="40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0">
        <v>135</v>
      </c>
      <c r="AA405" s="40">
        <v>57.9555</v>
      </c>
      <c r="AB405" s="42">
        <v>210.43225</v>
      </c>
      <c r="AC405" s="41">
        <v>93.23653</v>
      </c>
      <c r="AD405" s="40"/>
      <c r="AE405" s="40"/>
      <c r="AF405" s="40"/>
      <c r="AG405" s="40"/>
      <c r="AH405" s="43">
        <f>39.65852+52.9947+99.3211</f>
        <v>191.97432</v>
      </c>
      <c r="AI405" s="41">
        <v>99.3211</v>
      </c>
      <c r="AJ405" s="40">
        <v>92.65322</v>
      </c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>
        <v>82.8</v>
      </c>
      <c r="AX405" s="40">
        <v>1106.56</v>
      </c>
      <c r="AY405" s="40"/>
      <c r="AZ405" s="41"/>
      <c r="BA405" s="41"/>
      <c r="BB405" s="41"/>
      <c r="BC405" s="40"/>
      <c r="BD405" s="40"/>
      <c r="BE405" s="40">
        <v>77.08497</v>
      </c>
      <c r="BF405" s="40">
        <f>424.23989-26.1366</f>
        <v>398.10329</v>
      </c>
      <c r="BG405" s="40">
        <f>265.52505-16.4122</f>
        <v>249.11285000000004</v>
      </c>
      <c r="BH405" s="40"/>
      <c r="BI405" s="40"/>
      <c r="BJ405" s="40"/>
      <c r="BK405" s="40"/>
      <c r="BL405" s="40"/>
      <c r="BM405" s="40"/>
      <c r="BN405" s="40"/>
      <c r="BO405" s="41"/>
      <c r="BP405" s="41"/>
      <c r="BQ405" s="41"/>
      <c r="BR405" s="41"/>
      <c r="BS405" s="4"/>
      <c r="BT405" s="22"/>
      <c r="BU405" s="24"/>
    </row>
    <row r="406" spans="1:73" ht="73.5" customHeight="1" outlineLevel="2">
      <c r="A406" s="46" t="s">
        <v>141</v>
      </c>
      <c r="B406" s="26" t="s">
        <v>181</v>
      </c>
      <c r="C406" s="39">
        <f aca="true" t="shared" si="72" ref="C406:C457">D406+E406</f>
        <v>1955.6093700000001</v>
      </c>
      <c r="D406" s="1">
        <f t="shared" si="70"/>
        <v>750.52724</v>
      </c>
      <c r="E406" s="1">
        <f t="shared" si="71"/>
        <v>1205.08213</v>
      </c>
      <c r="F406" s="22"/>
      <c r="G406" s="22"/>
      <c r="H406" s="22"/>
      <c r="I406" s="22"/>
      <c r="J406" s="22"/>
      <c r="K406" s="22"/>
      <c r="L406" s="22"/>
      <c r="M406" s="22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22"/>
      <c r="AA406" s="22">
        <v>31.185</v>
      </c>
      <c r="AB406" s="23">
        <v>288.74374</v>
      </c>
      <c r="AC406" s="4">
        <v>203.48872</v>
      </c>
      <c r="AD406" s="22"/>
      <c r="AE406" s="22"/>
      <c r="AF406" s="22"/>
      <c r="AG406" s="22"/>
      <c r="AH406" s="20">
        <f>30.64522+43.3593+77.2084</f>
        <v>151.21292</v>
      </c>
      <c r="AI406" s="4">
        <v>77.2084</v>
      </c>
      <c r="AJ406" s="22">
        <v>74.00452</v>
      </c>
      <c r="AK406" s="22"/>
      <c r="AL406" s="22">
        <v>39.33</v>
      </c>
      <c r="AM406" s="22"/>
      <c r="AN406" s="22"/>
      <c r="AO406" s="22"/>
      <c r="AP406" s="22"/>
      <c r="AQ406" s="22">
        <v>5.5</v>
      </c>
      <c r="AR406" s="22"/>
      <c r="AS406" s="22"/>
      <c r="AT406" s="22"/>
      <c r="AU406" s="22"/>
      <c r="AV406" s="22"/>
      <c r="AW406" s="22">
        <v>36.34</v>
      </c>
      <c r="AX406" s="22">
        <v>449.28</v>
      </c>
      <c r="AY406" s="22"/>
      <c r="AZ406" s="4"/>
      <c r="BA406" s="4"/>
      <c r="BB406" s="4"/>
      <c r="BC406" s="22"/>
      <c r="BD406" s="22"/>
      <c r="BE406" s="22"/>
      <c r="BF406" s="22">
        <v>461.7835</v>
      </c>
      <c r="BG406" s="22">
        <v>288.74549</v>
      </c>
      <c r="BH406" s="22"/>
      <c r="BI406" s="22"/>
      <c r="BJ406" s="22"/>
      <c r="BK406" s="22"/>
      <c r="BL406" s="22"/>
      <c r="BM406" s="22"/>
      <c r="BN406" s="22"/>
      <c r="BO406" s="4"/>
      <c r="BP406" s="4"/>
      <c r="BQ406" s="4"/>
      <c r="BR406" s="4"/>
      <c r="BS406" s="4"/>
      <c r="BT406" s="22"/>
      <c r="BU406" s="24"/>
    </row>
    <row r="407" spans="1:73" ht="73.5" customHeight="1" outlineLevel="2">
      <c r="A407" s="46" t="s">
        <v>141</v>
      </c>
      <c r="B407" s="26" t="s">
        <v>104</v>
      </c>
      <c r="C407" s="39">
        <f t="shared" si="72"/>
        <v>2079.8604699999996</v>
      </c>
      <c r="D407" s="1">
        <f t="shared" si="70"/>
        <v>903.82302</v>
      </c>
      <c r="E407" s="1">
        <f t="shared" si="71"/>
        <v>1176.0374499999998</v>
      </c>
      <c r="F407" s="22"/>
      <c r="G407" s="22"/>
      <c r="H407" s="22"/>
      <c r="I407" s="22"/>
      <c r="J407" s="22"/>
      <c r="K407" s="22"/>
      <c r="L407" s="22"/>
      <c r="M407" s="22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22"/>
      <c r="AA407" s="22"/>
      <c r="AB407" s="23">
        <v>285.74727</v>
      </c>
      <c r="AC407" s="4">
        <v>119.57585</v>
      </c>
      <c r="AD407" s="22"/>
      <c r="AE407" s="22"/>
      <c r="AF407" s="22"/>
      <c r="AG407" s="22"/>
      <c r="AH407" s="20">
        <f>69.85665+84.318</f>
        <v>154.17464999999999</v>
      </c>
      <c r="AI407" s="4">
        <v>84.318</v>
      </c>
      <c r="AJ407" s="22">
        <v>69.85665</v>
      </c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>
        <v>80.96</v>
      </c>
      <c r="AX407" s="22">
        <v>407.68</v>
      </c>
      <c r="AY407" s="22">
        <v>112.77534</v>
      </c>
      <c r="AZ407" s="4">
        <v>98.21328</v>
      </c>
      <c r="BA407" s="4"/>
      <c r="BB407" s="4"/>
      <c r="BC407" s="22"/>
      <c r="BD407" s="22"/>
      <c r="BE407" s="22"/>
      <c r="BF407" s="22">
        <v>505.30041</v>
      </c>
      <c r="BG407" s="22">
        <v>315.43367</v>
      </c>
      <c r="BH407" s="22"/>
      <c r="BI407" s="22"/>
      <c r="BJ407" s="22"/>
      <c r="BK407" s="22"/>
      <c r="BL407" s="22"/>
      <c r="BM407" s="22"/>
      <c r="BN407" s="22"/>
      <c r="BO407" s="4"/>
      <c r="BP407" s="4"/>
      <c r="BQ407" s="4"/>
      <c r="BR407" s="4"/>
      <c r="BS407" s="4"/>
      <c r="BT407" s="22"/>
      <c r="BU407" s="24"/>
    </row>
    <row r="408" spans="1:73" ht="73.5" customHeight="1" outlineLevel="2">
      <c r="A408" s="46" t="s">
        <v>141</v>
      </c>
      <c r="B408" s="26" t="s">
        <v>184</v>
      </c>
      <c r="C408" s="39">
        <f t="shared" si="72"/>
        <v>11668.7543</v>
      </c>
      <c r="D408" s="1">
        <f t="shared" si="70"/>
        <v>7242.782590000001</v>
      </c>
      <c r="E408" s="1">
        <f t="shared" si="71"/>
        <v>4425.97171</v>
      </c>
      <c r="F408" s="22"/>
      <c r="G408" s="22"/>
      <c r="H408" s="22"/>
      <c r="I408" s="22"/>
      <c r="J408" s="22"/>
      <c r="K408" s="22"/>
      <c r="L408" s="22"/>
      <c r="M408" s="22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22">
        <v>112.5</v>
      </c>
      <c r="AA408" s="22">
        <v>59.697</v>
      </c>
      <c r="AB408" s="23">
        <v>737.0828</v>
      </c>
      <c r="AC408" s="4">
        <v>356.62972</v>
      </c>
      <c r="AD408" s="22"/>
      <c r="AE408" s="22"/>
      <c r="AF408" s="22"/>
      <c r="AG408" s="22"/>
      <c r="AH408" s="20">
        <f>173.4372+170.9083</f>
        <v>344.3455</v>
      </c>
      <c r="AI408" s="4">
        <v>170.9083</v>
      </c>
      <c r="AJ408" s="22">
        <v>173.4372</v>
      </c>
      <c r="AK408" s="22"/>
      <c r="AL408" s="22"/>
      <c r="AM408" s="22">
        <v>2409.47317</v>
      </c>
      <c r="AN408" s="22">
        <v>894.06408</v>
      </c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>
        <v>2301.18233</v>
      </c>
      <c r="AZ408" s="4">
        <v>1721.69314</v>
      </c>
      <c r="BA408" s="4"/>
      <c r="BB408" s="4"/>
      <c r="BC408" s="22"/>
      <c r="BD408" s="22"/>
      <c r="BE408" s="22"/>
      <c r="BF408" s="22">
        <v>1682.54429</v>
      </c>
      <c r="BG408" s="22">
        <v>1049.54227</v>
      </c>
      <c r="BH408" s="22"/>
      <c r="BI408" s="22"/>
      <c r="BJ408" s="22"/>
      <c r="BK408" s="22"/>
      <c r="BL408" s="22"/>
      <c r="BM408" s="22"/>
      <c r="BN408" s="22"/>
      <c r="BO408" s="4"/>
      <c r="BP408" s="4"/>
      <c r="BQ408" s="4"/>
      <c r="BR408" s="4"/>
      <c r="BS408" s="4"/>
      <c r="BT408" s="22"/>
      <c r="BU408" s="24"/>
    </row>
    <row r="409" spans="1:73" ht="73.5" customHeight="1" outlineLevel="2">
      <c r="A409" s="46" t="s">
        <v>141</v>
      </c>
      <c r="B409" s="26" t="s">
        <v>457</v>
      </c>
      <c r="C409" s="39">
        <f t="shared" si="72"/>
        <v>377.35683</v>
      </c>
      <c r="D409" s="1">
        <f t="shared" si="70"/>
        <v>251.5723</v>
      </c>
      <c r="E409" s="1">
        <f t="shared" si="71"/>
        <v>125.78453</v>
      </c>
      <c r="F409" s="22"/>
      <c r="G409" s="22"/>
      <c r="H409" s="22"/>
      <c r="I409" s="22"/>
      <c r="J409" s="22"/>
      <c r="K409" s="22"/>
      <c r="L409" s="22"/>
      <c r="M409" s="22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22"/>
      <c r="AA409" s="22"/>
      <c r="AB409" s="23">
        <v>134.36976</v>
      </c>
      <c r="AC409" s="4">
        <v>52.44555</v>
      </c>
      <c r="AD409" s="22"/>
      <c r="AE409" s="22"/>
      <c r="AF409" s="22"/>
      <c r="AG409" s="22"/>
      <c r="AH409" s="20"/>
      <c r="AI409" s="4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4"/>
      <c r="BA409" s="4"/>
      <c r="BB409" s="4"/>
      <c r="BC409" s="22"/>
      <c r="BD409" s="22"/>
      <c r="BE409" s="22"/>
      <c r="BF409" s="22">
        <v>117.20254</v>
      </c>
      <c r="BG409" s="22">
        <v>73.33898</v>
      </c>
      <c r="BH409" s="22"/>
      <c r="BI409" s="22"/>
      <c r="BJ409" s="22"/>
      <c r="BK409" s="22"/>
      <c r="BL409" s="22"/>
      <c r="BM409" s="22"/>
      <c r="BN409" s="22"/>
      <c r="BO409" s="4"/>
      <c r="BP409" s="4"/>
      <c r="BQ409" s="4"/>
      <c r="BR409" s="4"/>
      <c r="BS409" s="4"/>
      <c r="BT409" s="22"/>
      <c r="BU409" s="24"/>
    </row>
    <row r="410" spans="1:73" ht="73.5" customHeight="1" outlineLevel="2">
      <c r="A410" s="46" t="s">
        <v>141</v>
      </c>
      <c r="B410" s="26" t="s">
        <v>329</v>
      </c>
      <c r="C410" s="39">
        <f t="shared" si="72"/>
        <v>796.1927800000001</v>
      </c>
      <c r="D410" s="1">
        <f t="shared" si="70"/>
        <v>389.37862</v>
      </c>
      <c r="E410" s="1">
        <f t="shared" si="71"/>
        <v>406.81416</v>
      </c>
      <c r="F410" s="22"/>
      <c r="G410" s="22"/>
      <c r="H410" s="22"/>
      <c r="I410" s="22"/>
      <c r="J410" s="22"/>
      <c r="K410" s="22"/>
      <c r="L410" s="22"/>
      <c r="M410" s="22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22">
        <v>17.37579</v>
      </c>
      <c r="AA410" s="22">
        <v>23.895</v>
      </c>
      <c r="AB410" s="23">
        <v>107.65168</v>
      </c>
      <c r="AC410" s="4">
        <v>60.60374</v>
      </c>
      <c r="AD410" s="22"/>
      <c r="AE410" s="22"/>
      <c r="AF410" s="22"/>
      <c r="AG410" s="22"/>
      <c r="AH410" s="20">
        <f>79.49205+77.2084</f>
        <v>156.70045</v>
      </c>
      <c r="AI410" s="4">
        <v>77.2084</v>
      </c>
      <c r="AJ410" s="22">
        <v>79.49205</v>
      </c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4"/>
      <c r="BA410" s="4"/>
      <c r="BB410" s="4"/>
      <c r="BC410" s="22"/>
      <c r="BD410" s="22"/>
      <c r="BE410" s="22"/>
      <c r="BF410" s="22">
        <v>264.35115</v>
      </c>
      <c r="BG410" s="22">
        <v>165.61497</v>
      </c>
      <c r="BH410" s="22"/>
      <c r="BI410" s="22"/>
      <c r="BJ410" s="22"/>
      <c r="BK410" s="22"/>
      <c r="BL410" s="22"/>
      <c r="BM410" s="22"/>
      <c r="BN410" s="22"/>
      <c r="BO410" s="4"/>
      <c r="BP410" s="4"/>
      <c r="BQ410" s="4"/>
      <c r="BR410" s="4"/>
      <c r="BS410" s="4"/>
      <c r="BT410" s="22"/>
      <c r="BU410" s="24"/>
    </row>
    <row r="411" spans="1:73" ht="73.5" customHeight="1" outlineLevel="2">
      <c r="A411" s="46" t="s">
        <v>141</v>
      </c>
      <c r="B411" s="26" t="s">
        <v>182</v>
      </c>
      <c r="C411" s="39">
        <f t="shared" si="72"/>
        <v>1470.2537499999999</v>
      </c>
      <c r="D411" s="1">
        <f t="shared" si="70"/>
        <v>596.38988</v>
      </c>
      <c r="E411" s="1">
        <f t="shared" si="71"/>
        <v>873.86387</v>
      </c>
      <c r="F411" s="22"/>
      <c r="G411" s="22"/>
      <c r="H411" s="22"/>
      <c r="I411" s="22"/>
      <c r="J411" s="22"/>
      <c r="K411" s="22"/>
      <c r="L411" s="22"/>
      <c r="M411" s="22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22"/>
      <c r="AA411" s="22"/>
      <c r="AB411" s="23">
        <v>197.33869</v>
      </c>
      <c r="AC411" s="4">
        <v>111.88383</v>
      </c>
      <c r="AD411" s="22"/>
      <c r="AE411" s="22"/>
      <c r="AF411" s="22"/>
      <c r="AG411" s="22"/>
      <c r="AH411" s="20">
        <f>69.85665+68.96265</f>
        <v>138.8193</v>
      </c>
      <c r="AI411" s="4">
        <v>68.96265</v>
      </c>
      <c r="AJ411" s="22">
        <v>69.85665</v>
      </c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>
        <v>32.51543</v>
      </c>
      <c r="AZ411" s="4">
        <v>6.19882</v>
      </c>
      <c r="BA411" s="4"/>
      <c r="BB411" s="4"/>
      <c r="BC411" s="22"/>
      <c r="BD411" s="22">
        <f>260.41295+127.386</f>
        <v>387.79895</v>
      </c>
      <c r="BE411" s="22"/>
      <c r="BF411" s="22">
        <v>366.53576</v>
      </c>
      <c r="BG411" s="22">
        <v>229.16297</v>
      </c>
      <c r="BH411" s="22"/>
      <c r="BI411" s="22"/>
      <c r="BJ411" s="22"/>
      <c r="BK411" s="22"/>
      <c r="BL411" s="22"/>
      <c r="BM411" s="22"/>
      <c r="BN411" s="22"/>
      <c r="BO411" s="4"/>
      <c r="BP411" s="4"/>
      <c r="BQ411" s="4"/>
      <c r="BR411" s="4"/>
      <c r="BS411" s="4"/>
      <c r="BT411" s="22"/>
      <c r="BU411" s="24"/>
    </row>
    <row r="412" spans="1:73" ht="73.5" customHeight="1" outlineLevel="2">
      <c r="A412" s="46" t="s">
        <v>141</v>
      </c>
      <c r="B412" s="26" t="s">
        <v>726</v>
      </c>
      <c r="C412" s="39">
        <f t="shared" si="72"/>
        <v>568.52233</v>
      </c>
      <c r="D412" s="1">
        <f t="shared" si="70"/>
        <v>287.90475</v>
      </c>
      <c r="E412" s="1">
        <f t="shared" si="71"/>
        <v>280.61758000000003</v>
      </c>
      <c r="F412" s="22"/>
      <c r="G412" s="22"/>
      <c r="H412" s="22"/>
      <c r="I412" s="22"/>
      <c r="J412" s="22"/>
      <c r="K412" s="22"/>
      <c r="L412" s="22"/>
      <c r="M412" s="22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22">
        <v>8.68789</v>
      </c>
      <c r="AA412" s="22">
        <v>13.203</v>
      </c>
      <c r="AB412" s="23">
        <v>95.50287</v>
      </c>
      <c r="AC412" s="4">
        <v>50.58082</v>
      </c>
      <c r="AD412" s="22"/>
      <c r="AE412" s="22"/>
      <c r="AF412" s="22"/>
      <c r="AG412" s="22"/>
      <c r="AH412" s="20">
        <f>45.76815+56.212</f>
        <v>101.98015000000001</v>
      </c>
      <c r="AI412" s="4">
        <v>56.212</v>
      </c>
      <c r="AJ412" s="22">
        <v>45.76815</v>
      </c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4"/>
      <c r="BA412" s="4"/>
      <c r="BB412" s="4"/>
      <c r="BC412" s="22"/>
      <c r="BD412" s="22"/>
      <c r="BE412" s="22"/>
      <c r="BF412" s="22">
        <v>183.71399</v>
      </c>
      <c r="BG412" s="22">
        <v>114.85361</v>
      </c>
      <c r="BH412" s="22"/>
      <c r="BI412" s="22"/>
      <c r="BJ412" s="22"/>
      <c r="BK412" s="22"/>
      <c r="BL412" s="22"/>
      <c r="BM412" s="22"/>
      <c r="BN412" s="22"/>
      <c r="BO412" s="4"/>
      <c r="BP412" s="4"/>
      <c r="BQ412" s="4"/>
      <c r="BR412" s="4"/>
      <c r="BS412" s="4"/>
      <c r="BT412" s="22"/>
      <c r="BU412" s="24"/>
    </row>
    <row r="413" spans="1:73" ht="73.5" customHeight="1" outlineLevel="2">
      <c r="A413" s="46" t="s">
        <v>141</v>
      </c>
      <c r="B413" s="26" t="s">
        <v>38</v>
      </c>
      <c r="C413" s="39">
        <f t="shared" si="72"/>
        <v>1196.47935</v>
      </c>
      <c r="D413" s="1">
        <f t="shared" si="70"/>
        <v>683.04393</v>
      </c>
      <c r="E413" s="1">
        <f t="shared" si="71"/>
        <v>513.43542</v>
      </c>
      <c r="F413" s="22"/>
      <c r="G413" s="22"/>
      <c r="H413" s="22"/>
      <c r="I413" s="22"/>
      <c r="J413" s="22"/>
      <c r="K413" s="22"/>
      <c r="L413" s="22"/>
      <c r="M413" s="22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22">
        <v>40.5</v>
      </c>
      <c r="AA413" s="22">
        <v>34.992</v>
      </c>
      <c r="AB413" s="23">
        <v>266.31736</v>
      </c>
      <c r="AC413" s="4">
        <v>120.50821</v>
      </c>
      <c r="AD413" s="22"/>
      <c r="AE413" s="22"/>
      <c r="AF413" s="22"/>
      <c r="AG413" s="22"/>
      <c r="AH413" s="20">
        <f>43.3593+186.2266+50.5908</f>
        <v>280.1767</v>
      </c>
      <c r="AI413" s="4">
        <v>236.8174</v>
      </c>
      <c r="AJ413" s="22">
        <v>43.3593</v>
      </c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4"/>
      <c r="BA413" s="4"/>
      <c r="BB413" s="4"/>
      <c r="BC413" s="22"/>
      <c r="BD413" s="22"/>
      <c r="BE413" s="22"/>
      <c r="BF413" s="22">
        <v>376.22657</v>
      </c>
      <c r="BG413" s="22">
        <v>77.75851</v>
      </c>
      <c r="BH413" s="22"/>
      <c r="BI413" s="22"/>
      <c r="BJ413" s="22"/>
      <c r="BK413" s="22"/>
      <c r="BL413" s="22"/>
      <c r="BM413" s="22"/>
      <c r="BN413" s="22"/>
      <c r="BO413" s="4"/>
      <c r="BP413" s="4"/>
      <c r="BQ413" s="4"/>
      <c r="BR413" s="4"/>
      <c r="BS413" s="4"/>
      <c r="BT413" s="22"/>
      <c r="BU413" s="24"/>
    </row>
    <row r="414" spans="1:73" ht="73.5" customHeight="1" outlineLevel="2">
      <c r="A414" s="26" t="s">
        <v>141</v>
      </c>
      <c r="B414" s="26" t="s">
        <v>442</v>
      </c>
      <c r="C414" s="39">
        <f t="shared" si="72"/>
        <v>242.47212000000002</v>
      </c>
      <c r="D414" s="1">
        <f t="shared" si="70"/>
        <v>131.95586</v>
      </c>
      <c r="E414" s="1">
        <f t="shared" si="71"/>
        <v>110.51626</v>
      </c>
      <c r="F414" s="22"/>
      <c r="G414" s="22"/>
      <c r="H414" s="22"/>
      <c r="I414" s="22"/>
      <c r="J414" s="22"/>
      <c r="K414" s="22"/>
      <c r="L414" s="22"/>
      <c r="M414" s="22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22"/>
      <c r="AA414" s="22"/>
      <c r="AB414" s="4">
        <v>46.00039</v>
      </c>
      <c r="AC414" s="4">
        <v>25.64005</v>
      </c>
      <c r="AD414" s="22"/>
      <c r="AE414" s="22"/>
      <c r="AF414" s="22"/>
      <c r="AG414" s="22"/>
      <c r="AH414" s="20">
        <f>14.4531+16.8636</f>
        <v>31.3167</v>
      </c>
      <c r="AI414" s="4">
        <v>16.8636</v>
      </c>
      <c r="AJ414" s="22">
        <v>14.4531</v>
      </c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4"/>
      <c r="BA414" s="4"/>
      <c r="BB414" s="4"/>
      <c r="BC414" s="22"/>
      <c r="BD414" s="22"/>
      <c r="BE414" s="22"/>
      <c r="BF414" s="22">
        <v>85.95547</v>
      </c>
      <c r="BG414" s="22">
        <v>53.55951</v>
      </c>
      <c r="BH414" s="22"/>
      <c r="BI414" s="22"/>
      <c r="BJ414" s="22"/>
      <c r="BK414" s="22"/>
      <c r="BL414" s="22"/>
      <c r="BM414" s="22"/>
      <c r="BN414" s="22"/>
      <c r="BO414" s="4"/>
      <c r="BP414" s="4"/>
      <c r="BQ414" s="4"/>
      <c r="BR414" s="4"/>
      <c r="BS414" s="4"/>
      <c r="BT414" s="22"/>
      <c r="BU414" s="24"/>
    </row>
    <row r="415" spans="1:73" ht="73.5" customHeight="1" outlineLevel="2">
      <c r="A415" s="46" t="s">
        <v>141</v>
      </c>
      <c r="B415" s="26" t="s">
        <v>727</v>
      </c>
      <c r="C415" s="39">
        <f t="shared" si="72"/>
        <v>511.23822</v>
      </c>
      <c r="D415" s="1">
        <f t="shared" si="70"/>
        <v>179.78823</v>
      </c>
      <c r="E415" s="1">
        <f t="shared" si="71"/>
        <v>331.44999</v>
      </c>
      <c r="F415" s="22"/>
      <c r="G415" s="22"/>
      <c r="H415" s="22"/>
      <c r="I415" s="22"/>
      <c r="J415" s="22"/>
      <c r="K415" s="22"/>
      <c r="L415" s="22"/>
      <c r="M415" s="22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22"/>
      <c r="AA415" s="22"/>
      <c r="AB415" s="23">
        <v>51.92416</v>
      </c>
      <c r="AC415" s="4">
        <v>32.86588</v>
      </c>
      <c r="AD415" s="22"/>
      <c r="AE415" s="22"/>
      <c r="AF415" s="22"/>
      <c r="AG415" s="22"/>
      <c r="AH415" s="20">
        <f>28.9062+33.7272</f>
        <v>62.6334</v>
      </c>
      <c r="AI415" s="4">
        <v>33.7272</v>
      </c>
      <c r="AJ415" s="22">
        <v>28.9062</v>
      </c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4"/>
      <c r="BA415" s="4"/>
      <c r="BB415" s="4"/>
      <c r="BC415" s="22"/>
      <c r="BD415" s="22"/>
      <c r="BE415" s="22">
        <v>156.09322</v>
      </c>
      <c r="BF415" s="22">
        <v>127.86407</v>
      </c>
      <c r="BG415" s="22">
        <v>79.85749</v>
      </c>
      <c r="BH415" s="22"/>
      <c r="BI415" s="22"/>
      <c r="BJ415" s="22"/>
      <c r="BK415" s="22"/>
      <c r="BL415" s="22"/>
      <c r="BM415" s="22"/>
      <c r="BN415" s="22"/>
      <c r="BO415" s="4"/>
      <c r="BP415" s="4"/>
      <c r="BQ415" s="4"/>
      <c r="BR415" s="4"/>
      <c r="BS415" s="4"/>
      <c r="BT415" s="22"/>
      <c r="BU415" s="24"/>
    </row>
    <row r="416" spans="1:73" ht="73.5" customHeight="1" outlineLevel="2">
      <c r="A416" s="26" t="s">
        <v>141</v>
      </c>
      <c r="B416" s="26" t="s">
        <v>728</v>
      </c>
      <c r="C416" s="39">
        <f t="shared" si="72"/>
        <v>89.16388</v>
      </c>
      <c r="D416" s="1">
        <f t="shared" si="70"/>
        <v>56.95921</v>
      </c>
      <c r="E416" s="1">
        <f t="shared" si="71"/>
        <v>32.20467</v>
      </c>
      <c r="F416" s="22"/>
      <c r="G416" s="22"/>
      <c r="H416" s="22"/>
      <c r="I416" s="22"/>
      <c r="J416" s="22"/>
      <c r="K416" s="22"/>
      <c r="L416" s="22"/>
      <c r="M416" s="22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22"/>
      <c r="AA416" s="22"/>
      <c r="AB416" s="23">
        <v>24.17292</v>
      </c>
      <c r="AC416" s="4">
        <v>11.65457</v>
      </c>
      <c r="AD416" s="22"/>
      <c r="AE416" s="22"/>
      <c r="AF416" s="22"/>
      <c r="AG416" s="22"/>
      <c r="AH416" s="20"/>
      <c r="AI416" s="4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4"/>
      <c r="BA416" s="4"/>
      <c r="BB416" s="4"/>
      <c r="BC416" s="22"/>
      <c r="BD416" s="22"/>
      <c r="BE416" s="22"/>
      <c r="BF416" s="22">
        <v>32.78629</v>
      </c>
      <c r="BG416" s="22">
        <v>20.5501</v>
      </c>
      <c r="BH416" s="22"/>
      <c r="BI416" s="22"/>
      <c r="BJ416" s="22"/>
      <c r="BK416" s="22"/>
      <c r="BL416" s="22"/>
      <c r="BM416" s="22"/>
      <c r="BN416" s="22"/>
      <c r="BO416" s="4"/>
      <c r="BP416" s="4"/>
      <c r="BQ416" s="4"/>
      <c r="BR416" s="4"/>
      <c r="BS416" s="4"/>
      <c r="BT416" s="22"/>
      <c r="BU416" s="24"/>
    </row>
    <row r="417" spans="1:73" ht="73.5" customHeight="1" outlineLevel="2">
      <c r="A417" s="46" t="s">
        <v>141</v>
      </c>
      <c r="B417" s="26" t="s">
        <v>60</v>
      </c>
      <c r="C417" s="39">
        <f t="shared" si="72"/>
        <v>237.17666</v>
      </c>
      <c r="D417" s="1">
        <f t="shared" si="70"/>
        <v>126.81163</v>
      </c>
      <c r="E417" s="1">
        <f t="shared" si="71"/>
        <v>110.36503</v>
      </c>
      <c r="F417" s="22"/>
      <c r="G417" s="22"/>
      <c r="H417" s="22"/>
      <c r="I417" s="22"/>
      <c r="J417" s="22"/>
      <c r="K417" s="22"/>
      <c r="L417" s="22"/>
      <c r="M417" s="22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22">
        <v>13.5</v>
      </c>
      <c r="AA417" s="22">
        <v>10.854</v>
      </c>
      <c r="AB417" s="23">
        <v>46.9186</v>
      </c>
      <c r="AC417" s="4">
        <v>18.64731</v>
      </c>
      <c r="AD417" s="22"/>
      <c r="AE417" s="22"/>
      <c r="AF417" s="22"/>
      <c r="AG417" s="22"/>
      <c r="AH417" s="20">
        <f>16.86195+22.4848</f>
        <v>39.34675</v>
      </c>
      <c r="AI417" s="4">
        <v>22.4848</v>
      </c>
      <c r="AJ417" s="22">
        <v>16.86195</v>
      </c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4"/>
      <c r="BA417" s="4"/>
      <c r="BB417" s="4"/>
      <c r="BC417" s="22"/>
      <c r="BD417" s="22"/>
      <c r="BE417" s="22"/>
      <c r="BF417" s="22">
        <v>66.39303</v>
      </c>
      <c r="BG417" s="22">
        <v>41.51697</v>
      </c>
      <c r="BH417" s="22"/>
      <c r="BI417" s="22"/>
      <c r="BJ417" s="22"/>
      <c r="BK417" s="22"/>
      <c r="BL417" s="22"/>
      <c r="BM417" s="22"/>
      <c r="BN417" s="22"/>
      <c r="BO417" s="4"/>
      <c r="BP417" s="4"/>
      <c r="BQ417" s="4"/>
      <c r="BR417" s="4"/>
      <c r="BS417" s="4"/>
      <c r="BT417" s="22"/>
      <c r="BU417" s="24"/>
    </row>
    <row r="418" spans="1:73" ht="73.5" customHeight="1" outlineLevel="2">
      <c r="A418" s="46" t="s">
        <v>141</v>
      </c>
      <c r="B418" s="26" t="s">
        <v>487</v>
      </c>
      <c r="C418" s="39">
        <f t="shared" si="72"/>
        <v>94.93751</v>
      </c>
      <c r="D418" s="1">
        <f t="shared" si="70"/>
        <v>62.00613</v>
      </c>
      <c r="E418" s="1">
        <f t="shared" si="71"/>
        <v>32.931380000000004</v>
      </c>
      <c r="F418" s="22"/>
      <c r="G418" s="22"/>
      <c r="H418" s="22"/>
      <c r="I418" s="22"/>
      <c r="J418" s="22"/>
      <c r="K418" s="22"/>
      <c r="L418" s="22"/>
      <c r="M418" s="22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22"/>
      <c r="AA418" s="22"/>
      <c r="AB418" s="23">
        <v>34.31726</v>
      </c>
      <c r="AC418" s="4">
        <v>15.61712</v>
      </c>
      <c r="AD418" s="22"/>
      <c r="AE418" s="22"/>
      <c r="AF418" s="22"/>
      <c r="AG418" s="22"/>
      <c r="AH418" s="20"/>
      <c r="AI418" s="4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4"/>
      <c r="BA418" s="4"/>
      <c r="BB418" s="4"/>
      <c r="BC418" s="22"/>
      <c r="BD418" s="22"/>
      <c r="BE418" s="22"/>
      <c r="BF418" s="22">
        <v>27.68887</v>
      </c>
      <c r="BG418" s="22">
        <v>17.31426</v>
      </c>
      <c r="BH418" s="22"/>
      <c r="BI418" s="22"/>
      <c r="BJ418" s="22"/>
      <c r="BK418" s="22"/>
      <c r="BL418" s="22"/>
      <c r="BM418" s="22"/>
      <c r="BN418" s="22"/>
      <c r="BO418" s="4"/>
      <c r="BP418" s="4"/>
      <c r="BQ418" s="4"/>
      <c r="BR418" s="4"/>
      <c r="BS418" s="4"/>
      <c r="BT418" s="22"/>
      <c r="BU418" s="24"/>
    </row>
    <row r="419" spans="1:73" ht="73.5" customHeight="1" outlineLevel="2">
      <c r="A419" s="46" t="s">
        <v>141</v>
      </c>
      <c r="B419" s="26" t="s">
        <v>729</v>
      </c>
      <c r="C419" s="39">
        <f t="shared" si="72"/>
        <v>293.17555000000004</v>
      </c>
      <c r="D419" s="1">
        <f t="shared" si="70"/>
        <v>164.73673</v>
      </c>
      <c r="E419" s="1">
        <f t="shared" si="71"/>
        <v>128.43882000000002</v>
      </c>
      <c r="F419" s="22"/>
      <c r="G419" s="22"/>
      <c r="H419" s="22"/>
      <c r="I419" s="22"/>
      <c r="J419" s="22"/>
      <c r="K419" s="22"/>
      <c r="L419" s="22"/>
      <c r="M419" s="22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22"/>
      <c r="AA419" s="22">
        <v>9.558</v>
      </c>
      <c r="AB419" s="4">
        <v>106.68233</v>
      </c>
      <c r="AC419" s="4">
        <v>51.28009</v>
      </c>
      <c r="AD419" s="22"/>
      <c r="AE419" s="22"/>
      <c r="AF419" s="22"/>
      <c r="AG419" s="22"/>
      <c r="AH419" s="20">
        <f>14.4531+16.8636</f>
        <v>31.3167</v>
      </c>
      <c r="AI419" s="4">
        <v>16.8636</v>
      </c>
      <c r="AJ419" s="22">
        <v>14.4531</v>
      </c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4"/>
      <c r="BA419" s="4"/>
      <c r="BB419" s="4"/>
      <c r="BC419" s="22"/>
      <c r="BD419" s="22"/>
      <c r="BE419" s="22"/>
      <c r="BF419" s="22">
        <v>58.0544</v>
      </c>
      <c r="BG419" s="22">
        <v>36.28403</v>
      </c>
      <c r="BH419" s="22"/>
      <c r="BI419" s="22"/>
      <c r="BJ419" s="22"/>
      <c r="BK419" s="22"/>
      <c r="BL419" s="22"/>
      <c r="BM419" s="22"/>
      <c r="BN419" s="22"/>
      <c r="BO419" s="4"/>
      <c r="BP419" s="4"/>
      <c r="BQ419" s="4"/>
      <c r="BR419" s="4"/>
      <c r="BS419" s="4"/>
      <c r="BT419" s="22"/>
      <c r="BU419" s="24"/>
    </row>
    <row r="420" spans="1:73" ht="73.5" customHeight="1" outlineLevel="2">
      <c r="A420" s="46" t="s">
        <v>141</v>
      </c>
      <c r="B420" s="26" t="s">
        <v>800</v>
      </c>
      <c r="C420" s="39">
        <f>D420+E420</f>
        <v>2282.76</v>
      </c>
      <c r="D420" s="1">
        <f t="shared" si="70"/>
        <v>1500</v>
      </c>
      <c r="E420" s="1">
        <f t="shared" si="71"/>
        <v>782.76</v>
      </c>
      <c r="F420" s="22"/>
      <c r="G420" s="22"/>
      <c r="H420" s="22"/>
      <c r="I420" s="22"/>
      <c r="J420" s="22"/>
      <c r="K420" s="22"/>
      <c r="L420" s="22"/>
      <c r="M420" s="22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22"/>
      <c r="AA420" s="22"/>
      <c r="AB420" s="4"/>
      <c r="AC420" s="4"/>
      <c r="AD420" s="22"/>
      <c r="AE420" s="22"/>
      <c r="AF420" s="22"/>
      <c r="AG420" s="22"/>
      <c r="AH420" s="20"/>
      <c r="AI420" s="4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4"/>
      <c r="BA420" s="4"/>
      <c r="BB420" s="4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4">
        <v>1500</v>
      </c>
      <c r="BP420" s="4">
        <v>782.76</v>
      </c>
      <c r="BQ420" s="4"/>
      <c r="BR420" s="4"/>
      <c r="BS420" s="4"/>
      <c r="BT420" s="22"/>
      <c r="BU420" s="24"/>
    </row>
    <row r="421" spans="1:73" ht="73.5" customHeight="1" outlineLevel="2">
      <c r="A421" s="46" t="s">
        <v>141</v>
      </c>
      <c r="B421" s="26" t="s">
        <v>801</v>
      </c>
      <c r="C421" s="39">
        <f>D421+E421</f>
        <v>2969.998</v>
      </c>
      <c r="D421" s="1">
        <f t="shared" si="70"/>
        <v>1500</v>
      </c>
      <c r="E421" s="1">
        <f t="shared" si="71"/>
        <v>1469.998</v>
      </c>
      <c r="F421" s="22"/>
      <c r="G421" s="22"/>
      <c r="H421" s="22"/>
      <c r="I421" s="22"/>
      <c r="J421" s="22"/>
      <c r="K421" s="22"/>
      <c r="L421" s="22"/>
      <c r="M421" s="22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22"/>
      <c r="AA421" s="22"/>
      <c r="AB421" s="4"/>
      <c r="AC421" s="4"/>
      <c r="AD421" s="22"/>
      <c r="AE421" s="22"/>
      <c r="AF421" s="22"/>
      <c r="AG421" s="22"/>
      <c r="AH421" s="20"/>
      <c r="AI421" s="4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4"/>
      <c r="BA421" s="4"/>
      <c r="BB421" s="4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4">
        <v>1500</v>
      </c>
      <c r="BP421" s="4">
        <f>1469.998</f>
        <v>1469.998</v>
      </c>
      <c r="BQ421" s="4"/>
      <c r="BR421" s="4"/>
      <c r="BS421" s="4"/>
      <c r="BT421" s="22"/>
      <c r="BU421" s="24"/>
    </row>
    <row r="422" spans="1:73" ht="73.5" customHeight="1" outlineLevel="2">
      <c r="A422" s="46" t="s">
        <v>141</v>
      </c>
      <c r="B422" s="26" t="s">
        <v>730</v>
      </c>
      <c r="C422" s="39">
        <f t="shared" si="72"/>
        <v>53.37733</v>
      </c>
      <c r="D422" s="1">
        <f t="shared" si="70"/>
        <v>32.80458</v>
      </c>
      <c r="E422" s="1">
        <f t="shared" si="71"/>
        <v>20.57275</v>
      </c>
      <c r="F422" s="22"/>
      <c r="G422" s="22"/>
      <c r="H422" s="22"/>
      <c r="I422" s="22"/>
      <c r="J422" s="22"/>
      <c r="K422" s="22"/>
      <c r="L422" s="22"/>
      <c r="M422" s="22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22"/>
      <c r="AA422" s="22"/>
      <c r="AB422" s="23"/>
      <c r="AC422" s="4"/>
      <c r="AD422" s="22"/>
      <c r="AE422" s="22"/>
      <c r="AF422" s="22"/>
      <c r="AG422" s="22"/>
      <c r="AH422" s="20"/>
      <c r="AI422" s="4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4"/>
      <c r="BA422" s="4"/>
      <c r="BB422" s="4"/>
      <c r="BC422" s="22"/>
      <c r="BD422" s="22"/>
      <c r="BE422" s="22"/>
      <c r="BF422" s="22">
        <v>32.80458</v>
      </c>
      <c r="BG422" s="22">
        <v>20.57275</v>
      </c>
      <c r="BH422" s="22"/>
      <c r="BI422" s="22"/>
      <c r="BJ422" s="22"/>
      <c r="BK422" s="22"/>
      <c r="BL422" s="22"/>
      <c r="BM422" s="22"/>
      <c r="BN422" s="22"/>
      <c r="BO422" s="4"/>
      <c r="BP422" s="4"/>
      <c r="BQ422" s="4"/>
      <c r="BR422" s="4"/>
      <c r="BS422" s="4"/>
      <c r="BT422" s="22"/>
      <c r="BU422" s="24"/>
    </row>
    <row r="423" spans="1:73" ht="73.5" customHeight="1" outlineLevel="2">
      <c r="A423" s="46" t="s">
        <v>141</v>
      </c>
      <c r="B423" s="26" t="s">
        <v>731</v>
      </c>
      <c r="C423" s="39">
        <f t="shared" si="72"/>
        <v>125.61093</v>
      </c>
      <c r="D423" s="1">
        <f t="shared" si="70"/>
        <v>75.79581999999999</v>
      </c>
      <c r="E423" s="1">
        <f t="shared" si="71"/>
        <v>49.815110000000004</v>
      </c>
      <c r="F423" s="22"/>
      <c r="G423" s="22"/>
      <c r="H423" s="22"/>
      <c r="I423" s="22"/>
      <c r="J423" s="22"/>
      <c r="K423" s="22"/>
      <c r="L423" s="22"/>
      <c r="M423" s="22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22"/>
      <c r="AA423" s="22"/>
      <c r="AB423" s="23">
        <v>32.38976</v>
      </c>
      <c r="AC423" s="4">
        <v>22.60986</v>
      </c>
      <c r="AD423" s="22"/>
      <c r="AE423" s="22"/>
      <c r="AF423" s="22"/>
      <c r="AG423" s="22"/>
      <c r="AH423" s="20"/>
      <c r="AI423" s="4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4"/>
      <c r="BA423" s="4"/>
      <c r="BB423" s="4"/>
      <c r="BC423" s="22"/>
      <c r="BD423" s="22"/>
      <c r="BE423" s="22"/>
      <c r="BF423" s="22">
        <v>43.40606</v>
      </c>
      <c r="BG423" s="22">
        <v>27.20525</v>
      </c>
      <c r="BH423" s="22"/>
      <c r="BI423" s="22"/>
      <c r="BJ423" s="22"/>
      <c r="BK423" s="22"/>
      <c r="BL423" s="22"/>
      <c r="BM423" s="22"/>
      <c r="BN423" s="22"/>
      <c r="BO423" s="4"/>
      <c r="BP423" s="4"/>
      <c r="BQ423" s="4"/>
      <c r="BR423" s="4"/>
      <c r="BS423" s="4"/>
      <c r="BT423" s="22"/>
      <c r="BU423" s="24"/>
    </row>
    <row r="424" spans="1:73" ht="73.5" customHeight="1" outlineLevel="2">
      <c r="A424" s="46" t="s">
        <v>141</v>
      </c>
      <c r="B424" s="26" t="s">
        <v>843</v>
      </c>
      <c r="C424" s="39">
        <f>D424+E424</f>
        <v>2588.022</v>
      </c>
      <c r="D424" s="1">
        <f t="shared" si="70"/>
        <v>0</v>
      </c>
      <c r="E424" s="1">
        <f t="shared" si="71"/>
        <v>2588.022</v>
      </c>
      <c r="F424" s="22"/>
      <c r="G424" s="22"/>
      <c r="H424" s="22"/>
      <c r="I424" s="22"/>
      <c r="J424" s="22"/>
      <c r="K424" s="22"/>
      <c r="L424" s="22"/>
      <c r="M424" s="22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22"/>
      <c r="AA424" s="22"/>
      <c r="AB424" s="23"/>
      <c r="AC424" s="4"/>
      <c r="AD424" s="22"/>
      <c r="AE424" s="22"/>
      <c r="AF424" s="22"/>
      <c r="AG424" s="22"/>
      <c r="AH424" s="20"/>
      <c r="AI424" s="4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4"/>
      <c r="BA424" s="4"/>
      <c r="BB424" s="4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4"/>
      <c r="BP424" s="4">
        <v>2588.022</v>
      </c>
      <c r="BQ424" s="4"/>
      <c r="BR424" s="4"/>
      <c r="BS424" s="4"/>
      <c r="BT424" s="22"/>
      <c r="BU424" s="24"/>
    </row>
    <row r="425" spans="1:73" ht="73.5" customHeight="1" outlineLevel="2">
      <c r="A425" s="46" t="s">
        <v>141</v>
      </c>
      <c r="B425" s="26" t="s">
        <v>732</v>
      </c>
      <c r="C425" s="39">
        <f t="shared" si="72"/>
        <v>245.99896</v>
      </c>
      <c r="D425" s="1">
        <f t="shared" si="70"/>
        <v>125.826</v>
      </c>
      <c r="E425" s="1">
        <f t="shared" si="71"/>
        <v>120.17296</v>
      </c>
      <c r="F425" s="22"/>
      <c r="G425" s="22"/>
      <c r="H425" s="22"/>
      <c r="I425" s="22"/>
      <c r="J425" s="22"/>
      <c r="K425" s="22"/>
      <c r="L425" s="22"/>
      <c r="M425" s="22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22"/>
      <c r="AA425" s="22"/>
      <c r="AB425" s="23">
        <v>40.37498</v>
      </c>
      <c r="AC425" s="4">
        <v>22.60986</v>
      </c>
      <c r="AD425" s="22"/>
      <c r="AE425" s="22"/>
      <c r="AF425" s="22"/>
      <c r="AG425" s="22"/>
      <c r="AH425" s="20">
        <f>21.67965+22.4848</f>
        <v>44.16445</v>
      </c>
      <c r="AI425" s="4">
        <v>22.4848</v>
      </c>
      <c r="AJ425" s="22">
        <v>21.67965</v>
      </c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4"/>
      <c r="BA425" s="4"/>
      <c r="BB425" s="4"/>
      <c r="BC425" s="22"/>
      <c r="BD425" s="22"/>
      <c r="BE425" s="22"/>
      <c r="BF425" s="22">
        <v>85.45102</v>
      </c>
      <c r="BG425" s="22">
        <v>53.39865</v>
      </c>
      <c r="BH425" s="22"/>
      <c r="BI425" s="22"/>
      <c r="BJ425" s="22"/>
      <c r="BK425" s="22"/>
      <c r="BL425" s="22"/>
      <c r="BM425" s="22"/>
      <c r="BN425" s="22"/>
      <c r="BO425" s="4"/>
      <c r="BP425" s="4"/>
      <c r="BQ425" s="4"/>
      <c r="BR425" s="4"/>
      <c r="BS425" s="4"/>
      <c r="BT425" s="22"/>
      <c r="BU425" s="24"/>
    </row>
    <row r="426" spans="1:73" ht="73.5" customHeight="1" outlineLevel="2">
      <c r="A426" s="46" t="s">
        <v>141</v>
      </c>
      <c r="B426" s="26" t="s">
        <v>733</v>
      </c>
      <c r="C426" s="39">
        <f t="shared" si="72"/>
        <v>71.9339</v>
      </c>
      <c r="D426" s="1">
        <f t="shared" si="70"/>
        <v>45.782579999999996</v>
      </c>
      <c r="E426" s="1">
        <f t="shared" si="71"/>
        <v>26.151320000000002</v>
      </c>
      <c r="F426" s="22"/>
      <c r="G426" s="22"/>
      <c r="H426" s="22"/>
      <c r="I426" s="22"/>
      <c r="J426" s="22"/>
      <c r="K426" s="22"/>
      <c r="L426" s="22"/>
      <c r="M426" s="22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22"/>
      <c r="AA426" s="22"/>
      <c r="AB426" s="23">
        <v>18.88045</v>
      </c>
      <c r="AC426" s="4">
        <v>9.32365</v>
      </c>
      <c r="AD426" s="22"/>
      <c r="AE426" s="22"/>
      <c r="AF426" s="22"/>
      <c r="AG426" s="22"/>
      <c r="AH426" s="20"/>
      <c r="AI426" s="4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4"/>
      <c r="BA426" s="4"/>
      <c r="BB426" s="4"/>
      <c r="BC426" s="22"/>
      <c r="BD426" s="22"/>
      <c r="BE426" s="22"/>
      <c r="BF426" s="22">
        <v>26.90213</v>
      </c>
      <c r="BG426" s="22">
        <v>16.82767</v>
      </c>
      <c r="BH426" s="22"/>
      <c r="BI426" s="22"/>
      <c r="BJ426" s="22"/>
      <c r="BK426" s="22"/>
      <c r="BL426" s="22"/>
      <c r="BM426" s="22"/>
      <c r="BN426" s="22"/>
      <c r="BO426" s="4"/>
      <c r="BP426" s="4"/>
      <c r="BQ426" s="4"/>
      <c r="BR426" s="4"/>
      <c r="BS426" s="4"/>
      <c r="BT426" s="22"/>
      <c r="BU426" s="24"/>
    </row>
    <row r="427" spans="1:73" ht="73.5" customHeight="1" outlineLevel="2">
      <c r="A427" s="46" t="s">
        <v>141</v>
      </c>
      <c r="B427" s="26" t="s">
        <v>734</v>
      </c>
      <c r="C427" s="39">
        <f t="shared" si="72"/>
        <v>102.42602</v>
      </c>
      <c r="D427" s="1">
        <f t="shared" si="70"/>
        <v>65.8025</v>
      </c>
      <c r="E427" s="1">
        <f t="shared" si="71"/>
        <v>36.62352</v>
      </c>
      <c r="F427" s="22"/>
      <c r="G427" s="22"/>
      <c r="H427" s="22"/>
      <c r="I427" s="22"/>
      <c r="J427" s="22"/>
      <c r="K427" s="22"/>
      <c r="L427" s="22"/>
      <c r="M427" s="22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22"/>
      <c r="AA427" s="22"/>
      <c r="AB427" s="23">
        <v>25.88999</v>
      </c>
      <c r="AC427" s="4">
        <v>11.65457</v>
      </c>
      <c r="AD427" s="22"/>
      <c r="AE427" s="22"/>
      <c r="AF427" s="22"/>
      <c r="AG427" s="22"/>
      <c r="AH427" s="20"/>
      <c r="AI427" s="4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4"/>
      <c r="BA427" s="4"/>
      <c r="BB427" s="4"/>
      <c r="BC427" s="22"/>
      <c r="BD427" s="22"/>
      <c r="BE427" s="22"/>
      <c r="BF427" s="22">
        <v>39.91251</v>
      </c>
      <c r="BG427" s="22">
        <v>24.96895</v>
      </c>
      <c r="BH427" s="22"/>
      <c r="BI427" s="22"/>
      <c r="BJ427" s="22"/>
      <c r="BK427" s="22"/>
      <c r="BL427" s="22"/>
      <c r="BM427" s="22"/>
      <c r="BN427" s="22"/>
      <c r="BO427" s="4"/>
      <c r="BP427" s="4"/>
      <c r="BQ427" s="4"/>
      <c r="BR427" s="4"/>
      <c r="BS427" s="4"/>
      <c r="BT427" s="22"/>
      <c r="BU427" s="24"/>
    </row>
    <row r="428" spans="1:73" ht="73.5" customHeight="1" outlineLevel="2">
      <c r="A428" s="46" t="s">
        <v>141</v>
      </c>
      <c r="B428" s="26" t="s">
        <v>735</v>
      </c>
      <c r="C428" s="39">
        <f t="shared" si="72"/>
        <v>402.44308</v>
      </c>
      <c r="D428" s="1">
        <f t="shared" si="70"/>
        <v>51.67735</v>
      </c>
      <c r="E428" s="1">
        <f t="shared" si="71"/>
        <v>350.76573</v>
      </c>
      <c r="F428" s="22"/>
      <c r="G428" s="22"/>
      <c r="H428" s="22"/>
      <c r="I428" s="22"/>
      <c r="J428" s="22"/>
      <c r="K428" s="22"/>
      <c r="L428" s="22"/>
      <c r="M428" s="22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22"/>
      <c r="AA428" s="22"/>
      <c r="AB428" s="23">
        <v>18.81834</v>
      </c>
      <c r="AC428" s="4">
        <v>11.88766</v>
      </c>
      <c r="AD428" s="22"/>
      <c r="AE428" s="22"/>
      <c r="AF428" s="22"/>
      <c r="AG428" s="22"/>
      <c r="AH428" s="20"/>
      <c r="AI428" s="4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>
        <v>35.42</v>
      </c>
      <c r="AX428" s="22">
        <v>282.88</v>
      </c>
      <c r="AY428" s="22"/>
      <c r="AZ428" s="4"/>
      <c r="BA428" s="4"/>
      <c r="BB428" s="4"/>
      <c r="BC428" s="22"/>
      <c r="BD428" s="22"/>
      <c r="BE428" s="22"/>
      <c r="BF428" s="22">
        <v>32.85901</v>
      </c>
      <c r="BG428" s="22">
        <v>20.57807</v>
      </c>
      <c r="BH428" s="22"/>
      <c r="BI428" s="22"/>
      <c r="BJ428" s="22"/>
      <c r="BK428" s="22"/>
      <c r="BL428" s="22"/>
      <c r="BM428" s="22"/>
      <c r="BN428" s="22"/>
      <c r="BO428" s="4"/>
      <c r="BP428" s="4"/>
      <c r="BQ428" s="4"/>
      <c r="BR428" s="4"/>
      <c r="BS428" s="4"/>
      <c r="BT428" s="22"/>
      <c r="BU428" s="24"/>
    </row>
    <row r="429" spans="1:73" ht="73.5" customHeight="1" outlineLevel="2">
      <c r="A429" s="46" t="s">
        <v>141</v>
      </c>
      <c r="B429" s="26" t="s">
        <v>736</v>
      </c>
      <c r="C429" s="39">
        <f t="shared" si="72"/>
        <v>32.34359</v>
      </c>
      <c r="D429" s="1">
        <f t="shared" si="70"/>
        <v>19.8904</v>
      </c>
      <c r="E429" s="1">
        <f t="shared" si="71"/>
        <v>12.45319</v>
      </c>
      <c r="F429" s="22"/>
      <c r="G429" s="22"/>
      <c r="H429" s="22"/>
      <c r="I429" s="22"/>
      <c r="J429" s="22"/>
      <c r="K429" s="22"/>
      <c r="L429" s="22"/>
      <c r="M429" s="22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22"/>
      <c r="AA429" s="22"/>
      <c r="AB429" s="23"/>
      <c r="AC429" s="4"/>
      <c r="AD429" s="22"/>
      <c r="AE429" s="22"/>
      <c r="AF429" s="22"/>
      <c r="AG429" s="22"/>
      <c r="AH429" s="20"/>
      <c r="AI429" s="4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4"/>
      <c r="BA429" s="4"/>
      <c r="BB429" s="4"/>
      <c r="BC429" s="22"/>
      <c r="BD429" s="22"/>
      <c r="BE429" s="22"/>
      <c r="BF429" s="22">
        <v>19.8904</v>
      </c>
      <c r="BG429" s="22">
        <v>12.45319</v>
      </c>
      <c r="BH429" s="22"/>
      <c r="BI429" s="22"/>
      <c r="BJ429" s="22"/>
      <c r="BK429" s="22"/>
      <c r="BL429" s="22"/>
      <c r="BM429" s="22"/>
      <c r="BN429" s="22"/>
      <c r="BO429" s="4"/>
      <c r="BP429" s="4"/>
      <c r="BQ429" s="4"/>
      <c r="BR429" s="4"/>
      <c r="BS429" s="4"/>
      <c r="BT429" s="22"/>
      <c r="BU429" s="24"/>
    </row>
    <row r="430" spans="1:73" ht="73.5" customHeight="1" outlineLevel="2">
      <c r="A430" s="46" t="s">
        <v>141</v>
      </c>
      <c r="B430" s="26" t="s">
        <v>737</v>
      </c>
      <c r="C430" s="39">
        <f t="shared" si="72"/>
        <v>162.63306</v>
      </c>
      <c r="D430" s="1">
        <f t="shared" si="70"/>
        <v>68.52295</v>
      </c>
      <c r="E430" s="1">
        <f t="shared" si="71"/>
        <v>94.11010999999999</v>
      </c>
      <c r="F430" s="22"/>
      <c r="G430" s="22"/>
      <c r="H430" s="22"/>
      <c r="I430" s="22"/>
      <c r="J430" s="22"/>
      <c r="K430" s="22"/>
      <c r="L430" s="22"/>
      <c r="M430" s="22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22"/>
      <c r="AA430" s="22"/>
      <c r="AB430" s="23">
        <v>25.62743</v>
      </c>
      <c r="AC430" s="4">
        <v>13.28621</v>
      </c>
      <c r="AD430" s="22"/>
      <c r="AE430" s="22"/>
      <c r="AF430" s="22"/>
      <c r="AG430" s="22"/>
      <c r="AH430" s="20">
        <f>9.6354+11.2424</f>
        <v>20.8778</v>
      </c>
      <c r="AI430" s="4">
        <v>11.2424</v>
      </c>
      <c r="AJ430" s="22">
        <v>9.6354</v>
      </c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4"/>
      <c r="BA430" s="4"/>
      <c r="BB430" s="4"/>
      <c r="BC430" s="22"/>
      <c r="BD430" s="22"/>
      <c r="BE430" s="22">
        <v>33.13219</v>
      </c>
      <c r="BF430" s="22">
        <v>42.89552</v>
      </c>
      <c r="BG430" s="22">
        <v>26.81391</v>
      </c>
      <c r="BH430" s="22"/>
      <c r="BI430" s="22"/>
      <c r="BJ430" s="22"/>
      <c r="BK430" s="22"/>
      <c r="BL430" s="22"/>
      <c r="BM430" s="22"/>
      <c r="BN430" s="22"/>
      <c r="BO430" s="4"/>
      <c r="BP430" s="4"/>
      <c r="BQ430" s="4"/>
      <c r="BR430" s="4"/>
      <c r="BS430" s="4"/>
      <c r="BT430" s="22"/>
      <c r="BU430" s="24"/>
    </row>
    <row r="431" spans="1:73" ht="73.5" customHeight="1" outlineLevel="2">
      <c r="A431" s="46" t="s">
        <v>141</v>
      </c>
      <c r="B431" s="26" t="s">
        <v>738</v>
      </c>
      <c r="C431" s="39">
        <f t="shared" si="72"/>
        <v>1310.5065</v>
      </c>
      <c r="D431" s="1">
        <f t="shared" si="70"/>
        <v>424.22198000000003</v>
      </c>
      <c r="E431" s="1">
        <f t="shared" si="71"/>
        <v>886.28452</v>
      </c>
      <c r="F431" s="22"/>
      <c r="G431" s="22"/>
      <c r="H431" s="22"/>
      <c r="I431" s="22"/>
      <c r="J431" s="22"/>
      <c r="K431" s="22"/>
      <c r="L431" s="22"/>
      <c r="M431" s="22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22"/>
      <c r="AA431" s="22"/>
      <c r="AB431" s="23">
        <v>147.97966</v>
      </c>
      <c r="AC431" s="4">
        <v>79.25105</v>
      </c>
      <c r="AD431" s="22"/>
      <c r="AE431" s="22"/>
      <c r="AF431" s="22"/>
      <c r="AG431" s="22"/>
      <c r="AH431" s="20">
        <f>36.13275+44.9696</f>
        <v>81.10235</v>
      </c>
      <c r="AI431" s="4">
        <v>44.9696</v>
      </c>
      <c r="AJ431" s="22">
        <v>36.13275</v>
      </c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>
        <v>465.92</v>
      </c>
      <c r="AY431" s="22"/>
      <c r="AZ431" s="4"/>
      <c r="BA431" s="4"/>
      <c r="BB431" s="4"/>
      <c r="BC431" s="22"/>
      <c r="BD431" s="22">
        <v>87.14545</v>
      </c>
      <c r="BE431" s="22"/>
      <c r="BF431" s="22">
        <v>276.24232</v>
      </c>
      <c r="BG431" s="22">
        <v>172.86567</v>
      </c>
      <c r="BH431" s="22"/>
      <c r="BI431" s="22"/>
      <c r="BJ431" s="22"/>
      <c r="BK431" s="22"/>
      <c r="BL431" s="22"/>
      <c r="BM431" s="22"/>
      <c r="BN431" s="22"/>
      <c r="BO431" s="4"/>
      <c r="BP431" s="4"/>
      <c r="BQ431" s="4"/>
      <c r="BR431" s="4"/>
      <c r="BS431" s="4"/>
      <c r="BT431" s="22"/>
      <c r="BU431" s="24"/>
    </row>
    <row r="432" spans="1:73" ht="73.5" customHeight="1" outlineLevel="2">
      <c r="A432" s="46" t="s">
        <v>141</v>
      </c>
      <c r="B432" s="26" t="s">
        <v>275</v>
      </c>
      <c r="C432" s="39">
        <f t="shared" si="72"/>
        <v>864.20445</v>
      </c>
      <c r="D432" s="1">
        <f t="shared" si="70"/>
        <v>182.59539</v>
      </c>
      <c r="E432" s="1">
        <f t="shared" si="71"/>
        <v>681.60906</v>
      </c>
      <c r="F432" s="22"/>
      <c r="G432" s="22"/>
      <c r="H432" s="22"/>
      <c r="I432" s="22"/>
      <c r="J432" s="22"/>
      <c r="K432" s="22"/>
      <c r="L432" s="22"/>
      <c r="M432" s="22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22"/>
      <c r="AA432" s="22">
        <v>8.991</v>
      </c>
      <c r="AB432" s="23">
        <v>62.97843</v>
      </c>
      <c r="AC432" s="4">
        <v>42.65571</v>
      </c>
      <c r="AD432" s="22"/>
      <c r="AE432" s="22"/>
      <c r="AF432" s="22"/>
      <c r="AG432" s="22"/>
      <c r="AH432" s="20">
        <f>16.86195+22.4848</f>
        <v>39.34675</v>
      </c>
      <c r="AI432" s="4">
        <v>22.4848</v>
      </c>
      <c r="AJ432" s="22">
        <v>16.86195</v>
      </c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>
        <v>515.84</v>
      </c>
      <c r="AY432" s="22"/>
      <c r="AZ432" s="4"/>
      <c r="BA432" s="4"/>
      <c r="BB432" s="4"/>
      <c r="BC432" s="22"/>
      <c r="BD432" s="22"/>
      <c r="BE432" s="22"/>
      <c r="BF432" s="22">
        <v>119.61696</v>
      </c>
      <c r="BG432" s="22">
        <v>74.7756</v>
      </c>
      <c r="BH432" s="22"/>
      <c r="BI432" s="22"/>
      <c r="BJ432" s="22"/>
      <c r="BK432" s="22"/>
      <c r="BL432" s="22"/>
      <c r="BM432" s="22"/>
      <c r="BN432" s="22"/>
      <c r="BO432" s="4"/>
      <c r="BP432" s="4"/>
      <c r="BQ432" s="4"/>
      <c r="BR432" s="4"/>
      <c r="BS432" s="4"/>
      <c r="BT432" s="22"/>
      <c r="BU432" s="24"/>
    </row>
    <row r="433" spans="1:73" ht="73.5" customHeight="1" outlineLevel="2">
      <c r="A433" s="46" t="s">
        <v>141</v>
      </c>
      <c r="B433" s="26" t="s">
        <v>739</v>
      </c>
      <c r="C433" s="39">
        <f t="shared" si="72"/>
        <v>27.43992</v>
      </c>
      <c r="D433" s="1">
        <f t="shared" si="70"/>
        <v>17.49631</v>
      </c>
      <c r="E433" s="1">
        <f t="shared" si="71"/>
        <v>9.94361</v>
      </c>
      <c r="F433" s="22"/>
      <c r="G433" s="22"/>
      <c r="H433" s="22"/>
      <c r="I433" s="22"/>
      <c r="J433" s="22"/>
      <c r="K433" s="22"/>
      <c r="L433" s="22"/>
      <c r="M433" s="22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22"/>
      <c r="AA433" s="22"/>
      <c r="AB433" s="23">
        <v>7.97865</v>
      </c>
      <c r="AC433" s="4">
        <v>3.96255</v>
      </c>
      <c r="AD433" s="22"/>
      <c r="AE433" s="22"/>
      <c r="AF433" s="22"/>
      <c r="AG433" s="22"/>
      <c r="AH433" s="20"/>
      <c r="AI433" s="4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4"/>
      <c r="BA433" s="4"/>
      <c r="BB433" s="4"/>
      <c r="BC433" s="22"/>
      <c r="BD433" s="22"/>
      <c r="BE433" s="22"/>
      <c r="BF433" s="22">
        <v>9.51766</v>
      </c>
      <c r="BG433" s="22">
        <v>5.98106</v>
      </c>
      <c r="BH433" s="22"/>
      <c r="BI433" s="22"/>
      <c r="BJ433" s="22"/>
      <c r="BK433" s="22"/>
      <c r="BL433" s="22"/>
      <c r="BM433" s="22"/>
      <c r="BN433" s="22"/>
      <c r="BO433" s="4"/>
      <c r="BP433" s="4"/>
      <c r="BQ433" s="4"/>
      <c r="BR433" s="4"/>
      <c r="BS433" s="4"/>
      <c r="BT433" s="22"/>
      <c r="BU433" s="24"/>
    </row>
    <row r="434" spans="1:73" ht="73.5" customHeight="1" outlineLevel="2">
      <c r="A434" s="46" t="s">
        <v>141</v>
      </c>
      <c r="B434" s="26" t="s">
        <v>533</v>
      </c>
      <c r="C434" s="39">
        <f t="shared" si="72"/>
        <v>18.21259</v>
      </c>
      <c r="D434" s="1">
        <f t="shared" si="70"/>
        <v>11.19445</v>
      </c>
      <c r="E434" s="1">
        <f t="shared" si="71"/>
        <v>7.01814</v>
      </c>
      <c r="F434" s="22"/>
      <c r="G434" s="22"/>
      <c r="H434" s="22"/>
      <c r="I434" s="22"/>
      <c r="J434" s="22"/>
      <c r="K434" s="22"/>
      <c r="L434" s="22"/>
      <c r="M434" s="22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22"/>
      <c r="AA434" s="22"/>
      <c r="AB434" s="23"/>
      <c r="AC434" s="4"/>
      <c r="AD434" s="22"/>
      <c r="AE434" s="22"/>
      <c r="AF434" s="22"/>
      <c r="AG434" s="22"/>
      <c r="AH434" s="20"/>
      <c r="AI434" s="4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4"/>
      <c r="BA434" s="4"/>
      <c r="BB434" s="4"/>
      <c r="BC434" s="22"/>
      <c r="BD434" s="22"/>
      <c r="BE434" s="22"/>
      <c r="BF434" s="22">
        <v>11.19445</v>
      </c>
      <c r="BG434" s="22">
        <v>7.01814</v>
      </c>
      <c r="BH434" s="22"/>
      <c r="BI434" s="22"/>
      <c r="BJ434" s="22"/>
      <c r="BK434" s="22"/>
      <c r="BL434" s="22"/>
      <c r="BM434" s="22"/>
      <c r="BN434" s="22"/>
      <c r="BO434" s="4"/>
      <c r="BP434" s="4"/>
      <c r="BQ434" s="4"/>
      <c r="BR434" s="4"/>
      <c r="BS434" s="4"/>
      <c r="BT434" s="22"/>
      <c r="BU434" s="24"/>
    </row>
    <row r="435" spans="1:73" ht="73.5" customHeight="1" outlineLevel="2">
      <c r="A435" s="46" t="s">
        <v>141</v>
      </c>
      <c r="B435" s="26" t="s">
        <v>519</v>
      </c>
      <c r="C435" s="39">
        <f t="shared" si="72"/>
        <v>190.64202</v>
      </c>
      <c r="D435" s="1">
        <f t="shared" si="70"/>
        <v>123.44868000000001</v>
      </c>
      <c r="E435" s="1">
        <f t="shared" si="71"/>
        <v>67.19334</v>
      </c>
      <c r="F435" s="22"/>
      <c r="G435" s="22"/>
      <c r="H435" s="22"/>
      <c r="I435" s="22"/>
      <c r="J435" s="22"/>
      <c r="K435" s="22"/>
      <c r="L435" s="22"/>
      <c r="M435" s="22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22"/>
      <c r="AA435" s="22"/>
      <c r="AB435" s="23">
        <v>98.05558</v>
      </c>
      <c r="AC435" s="4">
        <v>51.28009</v>
      </c>
      <c r="AD435" s="22"/>
      <c r="AE435" s="22"/>
      <c r="AF435" s="22"/>
      <c r="AG435" s="22"/>
      <c r="AH435" s="20"/>
      <c r="AI435" s="4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4"/>
      <c r="BA435" s="4"/>
      <c r="BB435" s="4"/>
      <c r="BC435" s="22"/>
      <c r="BD435" s="22"/>
      <c r="BE435" s="22"/>
      <c r="BF435" s="22">
        <v>25.3931</v>
      </c>
      <c r="BG435" s="22">
        <v>15.91325</v>
      </c>
      <c r="BH435" s="22"/>
      <c r="BI435" s="22"/>
      <c r="BJ435" s="22"/>
      <c r="BK435" s="22"/>
      <c r="BL435" s="22"/>
      <c r="BM435" s="22"/>
      <c r="BN435" s="22"/>
      <c r="BO435" s="4"/>
      <c r="BP435" s="4"/>
      <c r="BQ435" s="4"/>
      <c r="BR435" s="4"/>
      <c r="BS435" s="4"/>
      <c r="BT435" s="22"/>
      <c r="BU435" s="24"/>
    </row>
    <row r="436" spans="1:73" ht="73.5" customHeight="1" outlineLevel="2">
      <c r="A436" s="46" t="s">
        <v>141</v>
      </c>
      <c r="B436" s="26" t="s">
        <v>518</v>
      </c>
      <c r="C436" s="39">
        <f t="shared" si="72"/>
        <v>9.299230000000001</v>
      </c>
      <c r="D436" s="1">
        <f t="shared" si="70"/>
        <v>5.7106</v>
      </c>
      <c r="E436" s="1">
        <f t="shared" si="71"/>
        <v>3.58863</v>
      </c>
      <c r="F436" s="22"/>
      <c r="G436" s="22"/>
      <c r="H436" s="22"/>
      <c r="I436" s="22"/>
      <c r="J436" s="22"/>
      <c r="K436" s="22"/>
      <c r="L436" s="22"/>
      <c r="M436" s="22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22"/>
      <c r="AA436" s="22"/>
      <c r="AB436" s="23"/>
      <c r="AC436" s="4"/>
      <c r="AD436" s="22"/>
      <c r="AE436" s="22"/>
      <c r="AF436" s="22"/>
      <c r="AG436" s="22"/>
      <c r="AH436" s="20"/>
      <c r="AI436" s="4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4"/>
      <c r="BA436" s="4"/>
      <c r="BB436" s="4"/>
      <c r="BC436" s="22"/>
      <c r="BD436" s="22"/>
      <c r="BE436" s="22"/>
      <c r="BF436" s="22">
        <v>5.7106</v>
      </c>
      <c r="BG436" s="22">
        <v>3.58863</v>
      </c>
      <c r="BH436" s="22"/>
      <c r="BI436" s="22"/>
      <c r="BJ436" s="22"/>
      <c r="BK436" s="22"/>
      <c r="BL436" s="22"/>
      <c r="BM436" s="22"/>
      <c r="BN436" s="22"/>
      <c r="BO436" s="4"/>
      <c r="BP436" s="4"/>
      <c r="BQ436" s="4"/>
      <c r="BR436" s="4"/>
      <c r="BS436" s="4"/>
      <c r="BT436" s="22"/>
      <c r="BU436" s="24"/>
    </row>
    <row r="437" spans="1:73" ht="73.5" customHeight="1" outlineLevel="2">
      <c r="A437" s="46" t="s">
        <v>141</v>
      </c>
      <c r="B437" s="26" t="s">
        <v>740</v>
      </c>
      <c r="C437" s="39">
        <f t="shared" si="72"/>
        <v>587.15048</v>
      </c>
      <c r="D437" s="1">
        <f t="shared" si="70"/>
        <v>276.16617</v>
      </c>
      <c r="E437" s="1">
        <f t="shared" si="71"/>
        <v>310.98431</v>
      </c>
      <c r="F437" s="22"/>
      <c r="G437" s="22"/>
      <c r="H437" s="22"/>
      <c r="I437" s="22"/>
      <c r="J437" s="22"/>
      <c r="K437" s="22"/>
      <c r="L437" s="22"/>
      <c r="M437" s="22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22"/>
      <c r="AA437" s="22"/>
      <c r="AB437" s="23">
        <v>20.31256</v>
      </c>
      <c r="AC437" s="4">
        <v>11.65457</v>
      </c>
      <c r="AD437" s="22"/>
      <c r="AE437" s="22"/>
      <c r="AF437" s="22"/>
      <c r="AG437" s="22"/>
      <c r="AH437" s="20">
        <f>69.85665+68.96265</f>
        <v>138.8193</v>
      </c>
      <c r="AI437" s="4">
        <v>68.96265</v>
      </c>
      <c r="AJ437" s="22">
        <v>69.85665</v>
      </c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4"/>
      <c r="BA437" s="4"/>
      <c r="BB437" s="4"/>
      <c r="BC437" s="22"/>
      <c r="BD437" s="22"/>
      <c r="BE437" s="22"/>
      <c r="BF437" s="22">
        <v>255.85361</v>
      </c>
      <c r="BG437" s="22">
        <v>160.51044</v>
      </c>
      <c r="BH437" s="22"/>
      <c r="BI437" s="22"/>
      <c r="BJ437" s="22"/>
      <c r="BK437" s="22"/>
      <c r="BL437" s="22"/>
      <c r="BM437" s="22"/>
      <c r="BN437" s="22"/>
      <c r="BO437" s="4"/>
      <c r="BP437" s="4"/>
      <c r="BQ437" s="4"/>
      <c r="BR437" s="4"/>
      <c r="BS437" s="4"/>
      <c r="BT437" s="22"/>
      <c r="BU437" s="24"/>
    </row>
    <row r="438" spans="1:73" ht="73.5" customHeight="1" outlineLevel="2">
      <c r="A438" s="46" t="s">
        <v>141</v>
      </c>
      <c r="B438" s="26" t="s">
        <v>741</v>
      </c>
      <c r="C438" s="39">
        <f t="shared" si="72"/>
        <v>314.25273000000004</v>
      </c>
      <c r="D438" s="1">
        <f t="shared" si="70"/>
        <v>141.95342000000002</v>
      </c>
      <c r="E438" s="1">
        <f t="shared" si="71"/>
        <v>172.29931</v>
      </c>
      <c r="F438" s="22"/>
      <c r="G438" s="22"/>
      <c r="H438" s="22"/>
      <c r="I438" s="22"/>
      <c r="J438" s="22"/>
      <c r="K438" s="22"/>
      <c r="L438" s="22"/>
      <c r="M438" s="22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22">
        <v>52.40538</v>
      </c>
      <c r="AA438" s="22">
        <v>97.2405</v>
      </c>
      <c r="AB438" s="23">
        <v>59.09152</v>
      </c>
      <c r="AC438" s="4">
        <v>32.63278</v>
      </c>
      <c r="AD438" s="22"/>
      <c r="AE438" s="22"/>
      <c r="AF438" s="22"/>
      <c r="AG438" s="22"/>
      <c r="AH438" s="20">
        <f>12.04425+11.2424</f>
        <v>23.28665</v>
      </c>
      <c r="AI438" s="4">
        <v>11.2424</v>
      </c>
      <c r="AJ438" s="22">
        <v>12.04425</v>
      </c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4"/>
      <c r="BA438" s="4"/>
      <c r="BB438" s="4"/>
      <c r="BC438" s="22"/>
      <c r="BD438" s="22"/>
      <c r="BE438" s="22"/>
      <c r="BF438" s="22">
        <v>30.45652</v>
      </c>
      <c r="BG438" s="22">
        <v>19.13938</v>
      </c>
      <c r="BH438" s="22"/>
      <c r="BI438" s="22"/>
      <c r="BJ438" s="22"/>
      <c r="BK438" s="22"/>
      <c r="BL438" s="22"/>
      <c r="BM438" s="22"/>
      <c r="BN438" s="22"/>
      <c r="BO438" s="4"/>
      <c r="BP438" s="4"/>
      <c r="BQ438" s="4"/>
      <c r="BR438" s="4"/>
      <c r="BS438" s="4"/>
      <c r="BT438" s="22"/>
      <c r="BU438" s="24"/>
    </row>
    <row r="439" spans="1:73" ht="73.5" customHeight="1" outlineLevel="2">
      <c r="A439" s="46" t="s">
        <v>141</v>
      </c>
      <c r="B439" s="26" t="s">
        <v>742</v>
      </c>
      <c r="C439" s="39">
        <f t="shared" si="72"/>
        <v>80.29274000000001</v>
      </c>
      <c r="D439" s="1">
        <f t="shared" si="70"/>
        <v>48.69419</v>
      </c>
      <c r="E439" s="1">
        <f t="shared" si="71"/>
        <v>31.598550000000003</v>
      </c>
      <c r="F439" s="22"/>
      <c r="G439" s="22"/>
      <c r="H439" s="22"/>
      <c r="I439" s="22"/>
      <c r="J439" s="22"/>
      <c r="K439" s="22"/>
      <c r="L439" s="22"/>
      <c r="M439" s="22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22"/>
      <c r="AA439" s="22">
        <v>3.6045</v>
      </c>
      <c r="AB439" s="23">
        <v>18.87071</v>
      </c>
      <c r="AC439" s="4">
        <v>9.32365</v>
      </c>
      <c r="AD439" s="22"/>
      <c r="AE439" s="22"/>
      <c r="AF439" s="22"/>
      <c r="AG439" s="22"/>
      <c r="AH439" s="20"/>
      <c r="AI439" s="4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4"/>
      <c r="BA439" s="4"/>
      <c r="BB439" s="4"/>
      <c r="BC439" s="22"/>
      <c r="BD439" s="22"/>
      <c r="BE439" s="22"/>
      <c r="BF439" s="22">
        <v>29.82348</v>
      </c>
      <c r="BG439" s="22">
        <v>18.6704</v>
      </c>
      <c r="BH439" s="22"/>
      <c r="BI439" s="22"/>
      <c r="BJ439" s="22"/>
      <c r="BK439" s="22"/>
      <c r="BL439" s="22"/>
      <c r="BM439" s="22"/>
      <c r="BN439" s="22"/>
      <c r="BO439" s="4"/>
      <c r="BP439" s="4"/>
      <c r="BQ439" s="4"/>
      <c r="BR439" s="4"/>
      <c r="BS439" s="4"/>
      <c r="BT439" s="22"/>
      <c r="BU439" s="24"/>
    </row>
    <row r="440" spans="1:73" ht="73.5" customHeight="1" outlineLevel="2">
      <c r="A440" s="46" t="s">
        <v>141</v>
      </c>
      <c r="B440" s="26" t="s">
        <v>771</v>
      </c>
      <c r="C440" s="39">
        <f t="shared" si="72"/>
        <v>1102.16862</v>
      </c>
      <c r="D440" s="1">
        <f t="shared" si="70"/>
        <v>740.56952</v>
      </c>
      <c r="E440" s="1">
        <f t="shared" si="71"/>
        <v>361.5991</v>
      </c>
      <c r="F440" s="22"/>
      <c r="G440" s="22"/>
      <c r="H440" s="22"/>
      <c r="I440" s="22"/>
      <c r="J440" s="22"/>
      <c r="K440" s="22"/>
      <c r="L440" s="22"/>
      <c r="M440" s="2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22"/>
      <c r="AA440" s="22"/>
      <c r="AB440" s="23">
        <v>721.53419</v>
      </c>
      <c r="AC440" s="4">
        <v>349.63698</v>
      </c>
      <c r="AD440" s="22"/>
      <c r="AE440" s="22"/>
      <c r="AF440" s="22"/>
      <c r="AG440" s="22"/>
      <c r="AH440" s="20"/>
      <c r="AI440" s="4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4"/>
      <c r="BA440" s="4"/>
      <c r="BB440" s="4"/>
      <c r="BC440" s="22"/>
      <c r="BD440" s="22"/>
      <c r="BE440" s="22"/>
      <c r="BF440" s="22">
        <v>19.03533</v>
      </c>
      <c r="BG440" s="22">
        <v>11.96212</v>
      </c>
      <c r="BH440" s="22"/>
      <c r="BI440" s="22"/>
      <c r="BJ440" s="22"/>
      <c r="BK440" s="22"/>
      <c r="BL440" s="22"/>
      <c r="BM440" s="22"/>
      <c r="BN440" s="22"/>
      <c r="BO440" s="4"/>
      <c r="BP440" s="4"/>
      <c r="BQ440" s="4"/>
      <c r="BR440" s="4"/>
      <c r="BS440" s="4"/>
      <c r="BT440" s="22"/>
      <c r="BU440" s="24"/>
    </row>
    <row r="441" spans="1:73" ht="73.5" customHeight="1" outlineLevel="2">
      <c r="A441" s="46" t="s">
        <v>141</v>
      </c>
      <c r="B441" s="26" t="s">
        <v>772</v>
      </c>
      <c r="C441" s="39">
        <f t="shared" si="72"/>
        <v>613.9686899999999</v>
      </c>
      <c r="D441" s="1">
        <f t="shared" si="70"/>
        <v>414.61087</v>
      </c>
      <c r="E441" s="1">
        <f t="shared" si="71"/>
        <v>199.35782</v>
      </c>
      <c r="F441" s="22"/>
      <c r="G441" s="22"/>
      <c r="H441" s="22"/>
      <c r="I441" s="22"/>
      <c r="J441" s="22"/>
      <c r="K441" s="22"/>
      <c r="L441" s="22"/>
      <c r="M441" s="22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22"/>
      <c r="AA441" s="22"/>
      <c r="AB441" s="23">
        <v>338.46956</v>
      </c>
      <c r="AC441" s="4">
        <v>151.50936</v>
      </c>
      <c r="AD441" s="22"/>
      <c r="AE441" s="22"/>
      <c r="AF441" s="22"/>
      <c r="AG441" s="22"/>
      <c r="AH441" s="20"/>
      <c r="AI441" s="4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4"/>
      <c r="BA441" s="4"/>
      <c r="BB441" s="4"/>
      <c r="BC441" s="22"/>
      <c r="BD441" s="22"/>
      <c r="BE441" s="22"/>
      <c r="BF441" s="22">
        <v>76.14131</v>
      </c>
      <c r="BG441" s="22">
        <v>47.84846</v>
      </c>
      <c r="BH441" s="22"/>
      <c r="BI441" s="22"/>
      <c r="BJ441" s="22"/>
      <c r="BK441" s="22"/>
      <c r="BL441" s="22"/>
      <c r="BM441" s="22"/>
      <c r="BN441" s="22"/>
      <c r="BO441" s="4"/>
      <c r="BP441" s="4"/>
      <c r="BQ441" s="4"/>
      <c r="BR441" s="4"/>
      <c r="BS441" s="4"/>
      <c r="BT441" s="22"/>
      <c r="BU441" s="24"/>
    </row>
    <row r="442" spans="1:73" ht="73.5" customHeight="1" outlineLevel="2">
      <c r="A442" s="46" t="s">
        <v>141</v>
      </c>
      <c r="B442" s="26" t="s">
        <v>773</v>
      </c>
      <c r="C442" s="39">
        <f t="shared" si="72"/>
        <v>179.36602</v>
      </c>
      <c r="D442" s="1">
        <f t="shared" si="70"/>
        <v>22.915660000000003</v>
      </c>
      <c r="E442" s="1">
        <f t="shared" si="71"/>
        <v>156.45036</v>
      </c>
      <c r="F442" s="22"/>
      <c r="G442" s="22"/>
      <c r="H442" s="22"/>
      <c r="I442" s="22"/>
      <c r="J442" s="22"/>
      <c r="K442" s="22"/>
      <c r="L442" s="22"/>
      <c r="M442" s="22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22"/>
      <c r="AA442" s="22"/>
      <c r="AB442" s="23"/>
      <c r="AC442" s="4"/>
      <c r="AD442" s="22"/>
      <c r="AE442" s="22"/>
      <c r="AF442" s="22"/>
      <c r="AG442" s="22"/>
      <c r="AH442" s="20"/>
      <c r="AI442" s="4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>
        <v>142.048</v>
      </c>
      <c r="AX442" s="22"/>
      <c r="AY442" s="22"/>
      <c r="AZ442" s="4"/>
      <c r="BA442" s="4"/>
      <c r="BB442" s="4"/>
      <c r="BC442" s="22"/>
      <c r="BD442" s="22"/>
      <c r="BE442" s="22"/>
      <c r="BF442" s="22">
        <f>26.64946-3.7338</f>
        <v>22.915660000000003</v>
      </c>
      <c r="BG442" s="22">
        <f>16.74696-2.3446</f>
        <v>14.402360000000002</v>
      </c>
      <c r="BH442" s="22"/>
      <c r="BI442" s="22"/>
      <c r="BJ442" s="22"/>
      <c r="BK442" s="22"/>
      <c r="BL442" s="22"/>
      <c r="BM442" s="22"/>
      <c r="BN442" s="22"/>
      <c r="BO442" s="4"/>
      <c r="BP442" s="4"/>
      <c r="BQ442" s="4"/>
      <c r="BR442" s="4"/>
      <c r="BS442" s="4"/>
      <c r="BT442" s="22"/>
      <c r="BU442" s="24"/>
    </row>
    <row r="443" spans="1:73" ht="73.5" customHeight="1" outlineLevel="2">
      <c r="A443" s="46" t="s">
        <v>141</v>
      </c>
      <c r="B443" s="26" t="s">
        <v>822</v>
      </c>
      <c r="C443" s="39">
        <f>D443+E443</f>
        <v>475.88920999999993</v>
      </c>
      <c r="D443" s="1">
        <f t="shared" si="70"/>
        <v>324.37985</v>
      </c>
      <c r="E443" s="1">
        <f t="shared" si="71"/>
        <v>151.50936</v>
      </c>
      <c r="F443" s="22"/>
      <c r="G443" s="22"/>
      <c r="H443" s="22"/>
      <c r="I443" s="22"/>
      <c r="J443" s="22"/>
      <c r="K443" s="22"/>
      <c r="L443" s="22"/>
      <c r="M443" s="22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22"/>
      <c r="AA443" s="4"/>
      <c r="AB443" s="23">
        <v>324.37985</v>
      </c>
      <c r="AC443" s="4">
        <v>151.50936</v>
      </c>
      <c r="AD443" s="22"/>
      <c r="AE443" s="22"/>
      <c r="AF443" s="22"/>
      <c r="AG443" s="22"/>
      <c r="AH443" s="20"/>
      <c r="AI443" s="4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4"/>
      <c r="BA443" s="4"/>
      <c r="BB443" s="4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4"/>
      <c r="BP443" s="4"/>
      <c r="BQ443" s="4"/>
      <c r="BR443" s="4"/>
      <c r="BS443" s="4"/>
      <c r="BT443" s="22"/>
      <c r="BU443" s="24"/>
    </row>
    <row r="444" spans="1:73" ht="73.5" customHeight="1" outlineLevel="2">
      <c r="A444" s="46" t="s">
        <v>141</v>
      </c>
      <c r="B444" s="26" t="s">
        <v>823</v>
      </c>
      <c r="C444" s="39">
        <f>D444+E444</f>
        <v>59.83947</v>
      </c>
      <c r="D444" s="1">
        <f t="shared" si="70"/>
        <v>39.56053</v>
      </c>
      <c r="E444" s="1">
        <f t="shared" si="71"/>
        <v>20.27894</v>
      </c>
      <c r="F444" s="22"/>
      <c r="G444" s="22"/>
      <c r="H444" s="22"/>
      <c r="I444" s="22"/>
      <c r="J444" s="22"/>
      <c r="K444" s="22"/>
      <c r="L444" s="22"/>
      <c r="M444" s="22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22"/>
      <c r="AA444" s="4"/>
      <c r="AB444" s="23">
        <v>39.56053</v>
      </c>
      <c r="AC444" s="4">
        <v>20.27894</v>
      </c>
      <c r="AD444" s="22"/>
      <c r="AE444" s="22"/>
      <c r="AF444" s="22"/>
      <c r="AG444" s="22"/>
      <c r="AH444" s="20"/>
      <c r="AI444" s="4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4"/>
      <c r="BA444" s="4"/>
      <c r="BB444" s="4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4"/>
      <c r="BP444" s="4"/>
      <c r="BQ444" s="4"/>
      <c r="BR444" s="4"/>
      <c r="BS444" s="4"/>
      <c r="BT444" s="22"/>
      <c r="BU444" s="24"/>
    </row>
    <row r="445" spans="1:73" ht="73.5" customHeight="1" outlineLevel="2">
      <c r="A445" s="46" t="s">
        <v>141</v>
      </c>
      <c r="B445" s="26" t="s">
        <v>824</v>
      </c>
      <c r="C445" s="39">
        <f>D445+E445</f>
        <v>43.09704</v>
      </c>
      <c r="D445" s="1">
        <f t="shared" si="70"/>
        <v>27.47992</v>
      </c>
      <c r="E445" s="1">
        <f t="shared" si="71"/>
        <v>15.61712</v>
      </c>
      <c r="F445" s="22"/>
      <c r="G445" s="22"/>
      <c r="H445" s="22"/>
      <c r="I445" s="22"/>
      <c r="J445" s="22"/>
      <c r="K445" s="22"/>
      <c r="L445" s="22"/>
      <c r="M445" s="22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22"/>
      <c r="AA445" s="4"/>
      <c r="AB445" s="23">
        <v>27.47992</v>
      </c>
      <c r="AC445" s="4">
        <v>15.61712</v>
      </c>
      <c r="AD445" s="22"/>
      <c r="AE445" s="22"/>
      <c r="AF445" s="22"/>
      <c r="AG445" s="22"/>
      <c r="AH445" s="20"/>
      <c r="AI445" s="4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4"/>
      <c r="BA445" s="4"/>
      <c r="BB445" s="4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4"/>
      <c r="BP445" s="4"/>
      <c r="BQ445" s="4"/>
      <c r="BR445" s="4"/>
      <c r="BS445" s="4"/>
      <c r="BT445" s="22"/>
      <c r="BU445" s="24"/>
    </row>
    <row r="446" spans="1:73" ht="73.5" customHeight="1" outlineLevel="2">
      <c r="A446" s="46" t="s">
        <v>141</v>
      </c>
      <c r="B446" s="26" t="s">
        <v>532</v>
      </c>
      <c r="C446" s="39">
        <f t="shared" si="72"/>
        <v>170.22348</v>
      </c>
      <c r="D446" s="1">
        <f t="shared" si="70"/>
        <v>104.74024</v>
      </c>
      <c r="E446" s="1">
        <f t="shared" si="71"/>
        <v>65.48324</v>
      </c>
      <c r="F446" s="22"/>
      <c r="G446" s="22"/>
      <c r="H446" s="22"/>
      <c r="I446" s="22"/>
      <c r="J446" s="22"/>
      <c r="K446" s="22"/>
      <c r="L446" s="22"/>
      <c r="M446" s="22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22"/>
      <c r="AA446" s="22"/>
      <c r="AB446" s="23">
        <v>34.76881</v>
      </c>
      <c r="AC446" s="4">
        <v>21.67749</v>
      </c>
      <c r="AD446" s="22"/>
      <c r="AE446" s="22"/>
      <c r="AF446" s="22"/>
      <c r="AG446" s="22"/>
      <c r="AH446" s="20"/>
      <c r="AI446" s="4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4"/>
      <c r="BA446" s="4"/>
      <c r="BB446" s="4"/>
      <c r="BC446" s="22"/>
      <c r="BD446" s="22"/>
      <c r="BE446" s="22"/>
      <c r="BF446" s="22">
        <v>69.97143</v>
      </c>
      <c r="BG446" s="22">
        <v>43.80575</v>
      </c>
      <c r="BH446" s="22"/>
      <c r="BI446" s="22"/>
      <c r="BJ446" s="22"/>
      <c r="BK446" s="22"/>
      <c r="BL446" s="22"/>
      <c r="BM446" s="22"/>
      <c r="BN446" s="22"/>
      <c r="BO446" s="4"/>
      <c r="BP446" s="4"/>
      <c r="BQ446" s="4"/>
      <c r="BR446" s="4"/>
      <c r="BS446" s="4"/>
      <c r="BT446" s="22"/>
      <c r="BU446" s="24"/>
    </row>
    <row r="447" spans="1:73" ht="73.5" customHeight="1" outlineLevel="2">
      <c r="A447" s="46" t="s">
        <v>141</v>
      </c>
      <c r="B447" s="26" t="s">
        <v>439</v>
      </c>
      <c r="C447" s="39">
        <f t="shared" si="72"/>
        <v>2150.48861</v>
      </c>
      <c r="D447" s="1">
        <f t="shared" si="70"/>
        <v>784.66143</v>
      </c>
      <c r="E447" s="1">
        <f t="shared" si="71"/>
        <v>1365.8271799999998</v>
      </c>
      <c r="F447" s="22"/>
      <c r="G447" s="22"/>
      <c r="H447" s="22"/>
      <c r="I447" s="22"/>
      <c r="J447" s="22"/>
      <c r="K447" s="22"/>
      <c r="L447" s="22"/>
      <c r="M447" s="22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22"/>
      <c r="AA447" s="22"/>
      <c r="AB447" s="23">
        <v>440.03235</v>
      </c>
      <c r="AC447" s="4">
        <v>163.16392</v>
      </c>
      <c r="AD447" s="22"/>
      <c r="AE447" s="22"/>
      <c r="AF447" s="22"/>
      <c r="AG447" s="22"/>
      <c r="AH447" s="20">
        <f>69.85665+68.96265</f>
        <v>138.8193</v>
      </c>
      <c r="AI447" s="4">
        <v>68.96265</v>
      </c>
      <c r="AJ447" s="22">
        <v>69.85665</v>
      </c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4"/>
      <c r="BA447" s="4"/>
      <c r="BB447" s="4"/>
      <c r="BC447" s="22"/>
      <c r="BD447" s="22"/>
      <c r="BE447" s="22">
        <v>848.80628</v>
      </c>
      <c r="BF447" s="22">
        <v>344.62908</v>
      </c>
      <c r="BG447" s="22">
        <v>215.03768</v>
      </c>
      <c r="BH447" s="22"/>
      <c r="BI447" s="22"/>
      <c r="BJ447" s="22"/>
      <c r="BK447" s="22"/>
      <c r="BL447" s="22"/>
      <c r="BM447" s="22"/>
      <c r="BN447" s="22"/>
      <c r="BO447" s="4"/>
      <c r="BP447" s="4"/>
      <c r="BQ447" s="4"/>
      <c r="BR447" s="4"/>
      <c r="BS447" s="4"/>
      <c r="BT447" s="22"/>
      <c r="BU447" s="24"/>
    </row>
    <row r="448" spans="1:73" ht="73.5" customHeight="1" outlineLevel="2">
      <c r="A448" s="46" t="s">
        <v>141</v>
      </c>
      <c r="B448" s="26" t="s">
        <v>486</v>
      </c>
      <c r="C448" s="39">
        <f t="shared" si="72"/>
        <v>237.05140999999998</v>
      </c>
      <c r="D448" s="1">
        <f t="shared" si="70"/>
        <v>123.24262999999999</v>
      </c>
      <c r="E448" s="1">
        <f t="shared" si="71"/>
        <v>113.80878</v>
      </c>
      <c r="F448" s="22"/>
      <c r="G448" s="22"/>
      <c r="H448" s="22"/>
      <c r="I448" s="22"/>
      <c r="J448" s="22"/>
      <c r="K448" s="22"/>
      <c r="L448" s="22"/>
      <c r="M448" s="22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22"/>
      <c r="AA448" s="22"/>
      <c r="AB448" s="23">
        <v>50.37319</v>
      </c>
      <c r="AC448" s="4">
        <v>24.00841</v>
      </c>
      <c r="AD448" s="22"/>
      <c r="AE448" s="22"/>
      <c r="AF448" s="22"/>
      <c r="AG448" s="22"/>
      <c r="AH448" s="20">
        <f>21.67965+22.4848</f>
        <v>44.16445</v>
      </c>
      <c r="AI448" s="4">
        <v>22.4848</v>
      </c>
      <c r="AJ448" s="22">
        <v>21.67965</v>
      </c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4"/>
      <c r="BA448" s="4"/>
      <c r="BB448" s="4"/>
      <c r="BC448" s="22"/>
      <c r="BD448" s="22"/>
      <c r="BE448" s="22"/>
      <c r="BF448" s="22">
        <v>72.86944</v>
      </c>
      <c r="BG448" s="22">
        <v>45.63592</v>
      </c>
      <c r="BH448" s="22"/>
      <c r="BI448" s="22"/>
      <c r="BJ448" s="22"/>
      <c r="BK448" s="22"/>
      <c r="BL448" s="22"/>
      <c r="BM448" s="22"/>
      <c r="BN448" s="22"/>
      <c r="BO448" s="4"/>
      <c r="BP448" s="4"/>
      <c r="BQ448" s="4"/>
      <c r="BR448" s="4"/>
      <c r="BS448" s="4"/>
      <c r="BT448" s="22"/>
      <c r="BU448" s="24"/>
    </row>
    <row r="449" spans="1:73" ht="73.5" customHeight="1" outlineLevel="2">
      <c r="A449" s="46" t="s">
        <v>141</v>
      </c>
      <c r="B449" s="26" t="s">
        <v>273</v>
      </c>
      <c r="C449" s="39">
        <f t="shared" si="72"/>
        <v>3046.7738299999996</v>
      </c>
      <c r="D449" s="1">
        <f t="shared" si="70"/>
        <v>957.7448899999999</v>
      </c>
      <c r="E449" s="1">
        <f t="shared" si="71"/>
        <v>2089.0289399999997</v>
      </c>
      <c r="F449" s="22"/>
      <c r="G449" s="22"/>
      <c r="H449" s="22"/>
      <c r="I449" s="22"/>
      <c r="J449" s="22">
        <v>103.33298</v>
      </c>
      <c r="K449" s="22">
        <v>67.66465</v>
      </c>
      <c r="L449" s="22">
        <v>54.21395</v>
      </c>
      <c r="M449" s="22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22">
        <v>191.13368</v>
      </c>
      <c r="AA449" s="22">
        <v>336.4335</v>
      </c>
      <c r="AB449" s="23">
        <v>311.48357</v>
      </c>
      <c r="AC449" s="4">
        <v>146.84753</v>
      </c>
      <c r="AD449" s="22"/>
      <c r="AE449" s="22"/>
      <c r="AF449" s="22"/>
      <c r="AG449" s="22"/>
      <c r="AH449" s="20">
        <f>69.85665+67.4544</f>
        <v>137.31105000000002</v>
      </c>
      <c r="AI449" s="4">
        <v>67.4544</v>
      </c>
      <c r="AJ449" s="22">
        <v>69.85665</v>
      </c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4"/>
      <c r="BA449" s="4"/>
      <c r="BB449" s="4"/>
      <c r="BC449" s="22"/>
      <c r="BD449" s="22"/>
      <c r="BE449" s="22">
        <v>1127.01127</v>
      </c>
      <c r="BF449" s="22">
        <v>351.79466</v>
      </c>
      <c r="BG449" s="22">
        <f>219.54699</f>
        <v>219.54699</v>
      </c>
      <c r="BH449" s="22"/>
      <c r="BI449" s="22"/>
      <c r="BJ449" s="22"/>
      <c r="BK449" s="22"/>
      <c r="BL449" s="22"/>
      <c r="BM449" s="22"/>
      <c r="BN449" s="22"/>
      <c r="BO449" s="4"/>
      <c r="BP449" s="4"/>
      <c r="BQ449" s="4"/>
      <c r="BR449" s="4"/>
      <c r="BS449" s="4"/>
      <c r="BT449" s="22"/>
      <c r="BU449" s="24"/>
    </row>
    <row r="450" spans="1:73" ht="73.5" customHeight="1" outlineLevel="2">
      <c r="A450" s="26" t="s">
        <v>141</v>
      </c>
      <c r="B450" s="26" t="s">
        <v>90</v>
      </c>
      <c r="C450" s="39">
        <f t="shared" si="72"/>
        <v>193.90978</v>
      </c>
      <c r="D450" s="1">
        <f t="shared" si="70"/>
        <v>94.51599</v>
      </c>
      <c r="E450" s="1">
        <f t="shared" si="71"/>
        <v>99.39379</v>
      </c>
      <c r="F450" s="22"/>
      <c r="G450" s="22"/>
      <c r="H450" s="22"/>
      <c r="I450" s="22"/>
      <c r="J450" s="22"/>
      <c r="K450" s="22"/>
      <c r="L450" s="22"/>
      <c r="M450" s="22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22"/>
      <c r="AA450" s="22"/>
      <c r="AB450" s="23">
        <v>29.47367</v>
      </c>
      <c r="AC450" s="4">
        <v>19.34658</v>
      </c>
      <c r="AD450" s="22"/>
      <c r="AE450" s="22"/>
      <c r="AF450" s="22"/>
      <c r="AG450" s="22"/>
      <c r="AH450" s="20">
        <f>16.86195+22.4848</f>
        <v>39.34675</v>
      </c>
      <c r="AI450" s="4">
        <v>22.4848</v>
      </c>
      <c r="AJ450" s="22">
        <v>16.86195</v>
      </c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4"/>
      <c r="BA450" s="4"/>
      <c r="BB450" s="4"/>
      <c r="BC450" s="22"/>
      <c r="BD450" s="22"/>
      <c r="BE450" s="22"/>
      <c r="BF450" s="22">
        <v>65.04232</v>
      </c>
      <c r="BG450" s="22">
        <v>40.70046</v>
      </c>
      <c r="BH450" s="22"/>
      <c r="BI450" s="22"/>
      <c r="BJ450" s="22"/>
      <c r="BK450" s="22"/>
      <c r="BL450" s="22"/>
      <c r="BM450" s="22"/>
      <c r="BN450" s="22"/>
      <c r="BO450" s="4"/>
      <c r="BP450" s="4"/>
      <c r="BQ450" s="4"/>
      <c r="BR450" s="4"/>
      <c r="BS450" s="4"/>
      <c r="BT450" s="22"/>
      <c r="BU450" s="24"/>
    </row>
    <row r="451" spans="1:73" ht="73.5" customHeight="1" outlineLevel="2">
      <c r="A451" s="46" t="s">
        <v>141</v>
      </c>
      <c r="B451" s="26" t="s">
        <v>45</v>
      </c>
      <c r="C451" s="39">
        <f t="shared" si="72"/>
        <v>1414.3183199999999</v>
      </c>
      <c r="D451" s="1">
        <f t="shared" si="70"/>
        <v>234.34641</v>
      </c>
      <c r="E451" s="1">
        <f t="shared" si="71"/>
        <v>1179.97191</v>
      </c>
      <c r="F451" s="22"/>
      <c r="G451" s="22"/>
      <c r="H451" s="22"/>
      <c r="I451" s="22"/>
      <c r="J451" s="22"/>
      <c r="K451" s="22"/>
      <c r="L451" s="22">
        <v>90.42959</v>
      </c>
      <c r="M451" s="22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22"/>
      <c r="AA451" s="22"/>
      <c r="AB451" s="23">
        <v>83.58837</v>
      </c>
      <c r="AC451" s="4">
        <v>46.61826</v>
      </c>
      <c r="AD451" s="22"/>
      <c r="AE451" s="22"/>
      <c r="AF451" s="22"/>
      <c r="AG451" s="22"/>
      <c r="AH451" s="20">
        <f>43.3593+50.5908</f>
        <v>93.95009999999999</v>
      </c>
      <c r="AI451" s="28">
        <v>50.5908</v>
      </c>
      <c r="AJ451" s="4">
        <v>43.3593</v>
      </c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4"/>
      <c r="BA451" s="4"/>
      <c r="BB451" s="4"/>
      <c r="BC451" s="22"/>
      <c r="BD451" s="22"/>
      <c r="BE451" s="22">
        <v>854.5978</v>
      </c>
      <c r="BF451" s="22">
        <v>150.75804</v>
      </c>
      <c r="BG451" s="22">
        <v>94.37616</v>
      </c>
      <c r="BH451" s="22"/>
      <c r="BI451" s="22"/>
      <c r="BJ451" s="22"/>
      <c r="BK451" s="22"/>
      <c r="BL451" s="22"/>
      <c r="BM451" s="22"/>
      <c r="BN451" s="22"/>
      <c r="BO451" s="4"/>
      <c r="BP451" s="4"/>
      <c r="BQ451" s="4"/>
      <c r="BR451" s="4"/>
      <c r="BS451" s="4"/>
      <c r="BT451" s="22"/>
      <c r="BU451" s="24"/>
    </row>
    <row r="452" spans="1:73" ht="73.5" customHeight="1" outlineLevel="2">
      <c r="A452" s="26" t="s">
        <v>141</v>
      </c>
      <c r="B452" s="26" t="s">
        <v>89</v>
      </c>
      <c r="C452" s="39">
        <f t="shared" si="72"/>
        <v>36.33198</v>
      </c>
      <c r="D452" s="1">
        <f t="shared" si="70"/>
        <v>21.992</v>
      </c>
      <c r="E452" s="1">
        <f t="shared" si="71"/>
        <v>14.33998</v>
      </c>
      <c r="F452" s="22"/>
      <c r="G452" s="22"/>
      <c r="H452" s="22"/>
      <c r="I452" s="22"/>
      <c r="J452" s="22"/>
      <c r="K452" s="22"/>
      <c r="L452" s="22"/>
      <c r="M452" s="22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22"/>
      <c r="AA452" s="22"/>
      <c r="AB452" s="23">
        <v>6.5273</v>
      </c>
      <c r="AC452" s="4">
        <v>4.66183</v>
      </c>
      <c r="AD452" s="22"/>
      <c r="AE452" s="22"/>
      <c r="AF452" s="22"/>
      <c r="AG452" s="22"/>
      <c r="AH452" s="20"/>
      <c r="AI452" s="4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4"/>
      <c r="BA452" s="4"/>
      <c r="BB452" s="4"/>
      <c r="BC452" s="22"/>
      <c r="BD452" s="22"/>
      <c r="BE452" s="22"/>
      <c r="BF452" s="22">
        <v>15.4647</v>
      </c>
      <c r="BG452" s="22">
        <v>9.67815</v>
      </c>
      <c r="BH452" s="22"/>
      <c r="BI452" s="22"/>
      <c r="BJ452" s="22"/>
      <c r="BK452" s="22"/>
      <c r="BL452" s="22"/>
      <c r="BM452" s="22"/>
      <c r="BN452" s="22"/>
      <c r="BO452" s="4"/>
      <c r="BP452" s="4"/>
      <c r="BQ452" s="4"/>
      <c r="BR452" s="4"/>
      <c r="BS452" s="4"/>
      <c r="BT452" s="22"/>
      <c r="BU452" s="24"/>
    </row>
    <row r="453" spans="1:73" ht="73.5" customHeight="1" outlineLevel="2">
      <c r="A453" s="46" t="s">
        <v>141</v>
      </c>
      <c r="B453" s="26" t="s">
        <v>453</v>
      </c>
      <c r="C453" s="39">
        <f t="shared" si="72"/>
        <v>253.71553</v>
      </c>
      <c r="D453" s="1">
        <f t="shared" si="70"/>
        <v>132.69986</v>
      </c>
      <c r="E453" s="1">
        <f t="shared" si="71"/>
        <v>121.01567</v>
      </c>
      <c r="F453" s="22"/>
      <c r="G453" s="22"/>
      <c r="H453" s="22"/>
      <c r="I453" s="22"/>
      <c r="J453" s="22"/>
      <c r="K453" s="22"/>
      <c r="L453" s="22"/>
      <c r="M453" s="22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22"/>
      <c r="AA453" s="22"/>
      <c r="AB453" s="23">
        <v>43.24821</v>
      </c>
      <c r="AC453" s="4">
        <v>20.97822</v>
      </c>
      <c r="AD453" s="22"/>
      <c r="AE453" s="22"/>
      <c r="AF453" s="22"/>
      <c r="AG453" s="22"/>
      <c r="AH453" s="20">
        <f>21.67965+22.4848</f>
        <v>44.16445</v>
      </c>
      <c r="AI453" s="4">
        <v>22.4848</v>
      </c>
      <c r="AJ453" s="22">
        <v>21.67965</v>
      </c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4"/>
      <c r="BA453" s="4"/>
      <c r="BB453" s="4"/>
      <c r="BC453" s="22"/>
      <c r="BD453" s="22"/>
      <c r="BE453" s="22"/>
      <c r="BF453" s="22">
        <v>89.45165</v>
      </c>
      <c r="BG453" s="22">
        <v>55.873</v>
      </c>
      <c r="BH453" s="22"/>
      <c r="BI453" s="22"/>
      <c r="BJ453" s="22"/>
      <c r="BK453" s="22"/>
      <c r="BL453" s="22"/>
      <c r="BM453" s="22"/>
      <c r="BN453" s="22"/>
      <c r="BO453" s="4"/>
      <c r="BP453" s="4"/>
      <c r="BQ453" s="4"/>
      <c r="BR453" s="4"/>
      <c r="BS453" s="4"/>
      <c r="BT453" s="22"/>
      <c r="BU453" s="24"/>
    </row>
    <row r="454" spans="1:73" ht="73.5" customHeight="1" outlineLevel="2">
      <c r="A454" s="46" t="s">
        <v>141</v>
      </c>
      <c r="B454" s="26" t="s">
        <v>78</v>
      </c>
      <c r="C454" s="39">
        <f t="shared" si="72"/>
        <v>249.70567</v>
      </c>
      <c r="D454" s="1">
        <f t="shared" si="70"/>
        <v>111.07006999999999</v>
      </c>
      <c r="E454" s="1">
        <f t="shared" si="71"/>
        <v>138.6356</v>
      </c>
      <c r="F454" s="22"/>
      <c r="G454" s="22"/>
      <c r="H454" s="22"/>
      <c r="I454" s="22"/>
      <c r="J454" s="22"/>
      <c r="K454" s="22"/>
      <c r="L454" s="22"/>
      <c r="M454" s="22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22"/>
      <c r="AA454" s="22">
        <v>8.1</v>
      </c>
      <c r="AB454" s="4">
        <v>39.51426</v>
      </c>
      <c r="AC454" s="4">
        <v>17.94803</v>
      </c>
      <c r="AD454" s="22"/>
      <c r="AE454" s="22"/>
      <c r="AF454" s="22"/>
      <c r="AG454" s="22"/>
      <c r="AH454" s="20">
        <f>16.86195+22.4848</f>
        <v>39.34675</v>
      </c>
      <c r="AI454" s="4">
        <v>22.4848</v>
      </c>
      <c r="AJ454" s="22">
        <v>16.86195</v>
      </c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4"/>
      <c r="BA454" s="4"/>
      <c r="BB454" s="4"/>
      <c r="BC454" s="22"/>
      <c r="BD454" s="22"/>
      <c r="BE454" s="22">
        <v>28.5496</v>
      </c>
      <c r="BF454" s="22">
        <v>71.55581</v>
      </c>
      <c r="BG454" s="22">
        <v>44.69122</v>
      </c>
      <c r="BH454" s="22"/>
      <c r="BI454" s="22"/>
      <c r="BJ454" s="22"/>
      <c r="BK454" s="22"/>
      <c r="BL454" s="22"/>
      <c r="BM454" s="22"/>
      <c r="BN454" s="22"/>
      <c r="BO454" s="4"/>
      <c r="BP454" s="4"/>
      <c r="BQ454" s="4"/>
      <c r="BR454" s="4"/>
      <c r="BS454" s="4"/>
      <c r="BT454" s="22"/>
      <c r="BU454" s="24"/>
    </row>
    <row r="455" spans="1:73" ht="73.5" customHeight="1" outlineLevel="2">
      <c r="A455" s="46" t="s">
        <v>141</v>
      </c>
      <c r="B455" s="26" t="s">
        <v>324</v>
      </c>
      <c r="C455" s="39">
        <f t="shared" si="72"/>
        <v>12.82072</v>
      </c>
      <c r="D455" s="1">
        <f t="shared" si="70"/>
        <v>7.9134899999999995</v>
      </c>
      <c r="E455" s="1">
        <f t="shared" si="71"/>
        <v>4.90723</v>
      </c>
      <c r="F455" s="22"/>
      <c r="G455" s="22"/>
      <c r="H455" s="22"/>
      <c r="I455" s="22"/>
      <c r="J455" s="22"/>
      <c r="K455" s="22"/>
      <c r="L455" s="22"/>
      <c r="M455" s="22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22"/>
      <c r="AA455" s="22"/>
      <c r="AB455" s="23"/>
      <c r="AC455" s="4"/>
      <c r="AD455" s="22"/>
      <c r="AE455" s="22"/>
      <c r="AF455" s="22"/>
      <c r="AG455" s="22"/>
      <c r="AH455" s="20"/>
      <c r="AI455" s="4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4"/>
      <c r="BA455" s="4"/>
      <c r="BB455" s="4"/>
      <c r="BC455" s="22"/>
      <c r="BD455" s="22"/>
      <c r="BE455" s="22"/>
      <c r="BF455" s="22">
        <f>26.95587-19.04238</f>
        <v>7.9134899999999995</v>
      </c>
      <c r="BG455" s="22">
        <f>16.86469-11.95746</f>
        <v>4.90723</v>
      </c>
      <c r="BH455" s="22"/>
      <c r="BI455" s="22"/>
      <c r="BJ455" s="22"/>
      <c r="BK455" s="22"/>
      <c r="BL455" s="22"/>
      <c r="BM455" s="22"/>
      <c r="BN455" s="22"/>
      <c r="BO455" s="4"/>
      <c r="BP455" s="4"/>
      <c r="BQ455" s="4"/>
      <c r="BR455" s="4"/>
      <c r="BS455" s="4"/>
      <c r="BT455" s="22"/>
      <c r="BU455" s="24"/>
    </row>
    <row r="456" spans="1:73" ht="73.5" customHeight="1" outlineLevel="2">
      <c r="A456" s="46" t="s">
        <v>141</v>
      </c>
      <c r="B456" s="26" t="s">
        <v>477</v>
      </c>
      <c r="C456" s="39">
        <f t="shared" si="72"/>
        <v>182.2721</v>
      </c>
      <c r="D456" s="1">
        <f t="shared" si="70"/>
        <v>0</v>
      </c>
      <c r="E456" s="1">
        <f t="shared" si="71"/>
        <v>182.2721</v>
      </c>
      <c r="F456" s="22"/>
      <c r="G456" s="22"/>
      <c r="H456" s="22"/>
      <c r="I456" s="22"/>
      <c r="J456" s="22"/>
      <c r="K456" s="22"/>
      <c r="L456" s="22"/>
      <c r="M456" s="22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22"/>
      <c r="AA456" s="22"/>
      <c r="AB456" s="4"/>
      <c r="AC456" s="4"/>
      <c r="AD456" s="22"/>
      <c r="AE456" s="22"/>
      <c r="AF456" s="22"/>
      <c r="AG456" s="22"/>
      <c r="AH456" s="20"/>
      <c r="AI456" s="4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4"/>
      <c r="BA456" s="4"/>
      <c r="BB456" s="4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>
        <f>78.273+103.9991</f>
        <v>182.2721</v>
      </c>
      <c r="BN456" s="22"/>
      <c r="BO456" s="4"/>
      <c r="BP456" s="4"/>
      <c r="BQ456" s="4"/>
      <c r="BR456" s="4"/>
      <c r="BS456" s="4"/>
      <c r="BT456" s="22"/>
      <c r="BU456" s="24"/>
    </row>
    <row r="457" spans="1:73" ht="73.5" customHeight="1" outlineLevel="2" thickBot="1">
      <c r="A457" s="46" t="s">
        <v>141</v>
      </c>
      <c r="B457" s="26" t="s">
        <v>72</v>
      </c>
      <c r="C457" s="39">
        <f t="shared" si="72"/>
        <v>206.6515</v>
      </c>
      <c r="D457" s="1">
        <f t="shared" si="70"/>
        <v>0</v>
      </c>
      <c r="E457" s="1">
        <f t="shared" si="71"/>
        <v>206.6515</v>
      </c>
      <c r="F457" s="22"/>
      <c r="G457" s="22"/>
      <c r="H457" s="22"/>
      <c r="I457" s="22"/>
      <c r="J457" s="22"/>
      <c r="K457" s="22"/>
      <c r="L457" s="22"/>
      <c r="M457" s="22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22"/>
      <c r="AA457" s="22"/>
      <c r="AB457" s="4"/>
      <c r="AC457" s="4"/>
      <c r="AD457" s="22"/>
      <c r="AE457" s="22"/>
      <c r="AF457" s="22"/>
      <c r="AG457" s="22"/>
      <c r="AH457" s="20"/>
      <c r="AI457" s="4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4"/>
      <c r="BA457" s="4"/>
      <c r="BB457" s="4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>
        <f>115.857+90.7945</f>
        <v>206.6515</v>
      </c>
      <c r="BN457" s="22"/>
      <c r="BO457" s="4"/>
      <c r="BP457" s="4"/>
      <c r="BQ457" s="4"/>
      <c r="BR457" s="4"/>
      <c r="BS457" s="4"/>
      <c r="BT457" s="22"/>
      <c r="BU457" s="24"/>
    </row>
    <row r="458" spans="1:74" s="35" customFormat="1" ht="73.5" customHeight="1" outlineLevel="1" thickBot="1">
      <c r="A458" s="29" t="s">
        <v>389</v>
      </c>
      <c r="B458" s="54"/>
      <c r="C458" s="31">
        <f aca="true" t="shared" si="73" ref="C458:BN458">SUBTOTAL(9,C405:C457)</f>
        <v>47251.59234</v>
      </c>
      <c r="D458" s="31">
        <f t="shared" si="73"/>
        <v>21431.242389999992</v>
      </c>
      <c r="E458" s="31">
        <f t="shared" si="73"/>
        <v>25820.349949999996</v>
      </c>
      <c r="F458" s="31">
        <f t="shared" si="73"/>
        <v>0</v>
      </c>
      <c r="G458" s="31">
        <f t="shared" si="73"/>
        <v>0</v>
      </c>
      <c r="H458" s="31">
        <f t="shared" si="73"/>
        <v>0</v>
      </c>
      <c r="I458" s="31">
        <f t="shared" si="73"/>
        <v>0</v>
      </c>
      <c r="J458" s="31">
        <f t="shared" si="73"/>
        <v>103.33298</v>
      </c>
      <c r="K458" s="31">
        <f t="shared" si="73"/>
        <v>67.66465</v>
      </c>
      <c r="L458" s="31">
        <f t="shared" si="73"/>
        <v>144.64354</v>
      </c>
      <c r="M458" s="31">
        <f t="shared" si="73"/>
        <v>0</v>
      </c>
      <c r="N458" s="31">
        <f t="shared" si="73"/>
        <v>0</v>
      </c>
      <c r="O458" s="31">
        <f t="shared" si="73"/>
        <v>0</v>
      </c>
      <c r="P458" s="31">
        <f t="shared" si="73"/>
        <v>0</v>
      </c>
      <c r="Q458" s="31">
        <f t="shared" si="73"/>
        <v>0</v>
      </c>
      <c r="R458" s="31">
        <f t="shared" si="73"/>
        <v>0</v>
      </c>
      <c r="S458" s="31">
        <f t="shared" si="73"/>
        <v>0</v>
      </c>
      <c r="T458" s="31">
        <f t="shared" si="73"/>
        <v>0</v>
      </c>
      <c r="U458" s="31">
        <f t="shared" si="73"/>
        <v>0</v>
      </c>
      <c r="V458" s="31">
        <f t="shared" si="73"/>
        <v>0</v>
      </c>
      <c r="W458" s="31">
        <f t="shared" si="73"/>
        <v>0</v>
      </c>
      <c r="X458" s="31">
        <f t="shared" si="73"/>
        <v>0</v>
      </c>
      <c r="Y458" s="31">
        <f t="shared" si="73"/>
        <v>0</v>
      </c>
      <c r="Z458" s="31">
        <f t="shared" si="73"/>
        <v>571.1027399999999</v>
      </c>
      <c r="AA458" s="31">
        <f t="shared" si="73"/>
        <v>695.709</v>
      </c>
      <c r="AB458" s="31">
        <f t="shared" si="73"/>
        <v>5700.883920000001</v>
      </c>
      <c r="AC458" s="31">
        <f t="shared" si="73"/>
        <v>2800.5922299999997</v>
      </c>
      <c r="AD458" s="31">
        <f t="shared" si="73"/>
        <v>0</v>
      </c>
      <c r="AE458" s="31">
        <f t="shared" si="73"/>
        <v>0</v>
      </c>
      <c r="AF458" s="31">
        <f t="shared" si="73"/>
        <v>0</v>
      </c>
      <c r="AG458" s="31">
        <f t="shared" si="73"/>
        <v>0</v>
      </c>
      <c r="AH458" s="31">
        <f t="shared" si="73"/>
        <v>2568.697690000001</v>
      </c>
      <c r="AI458" s="31">
        <f t="shared" si="73"/>
        <v>1419.2291499999997</v>
      </c>
      <c r="AJ458" s="31">
        <f t="shared" si="73"/>
        <v>1149.46854</v>
      </c>
      <c r="AK458" s="31">
        <f t="shared" si="73"/>
        <v>0</v>
      </c>
      <c r="AL458" s="31">
        <f t="shared" si="73"/>
        <v>39.33</v>
      </c>
      <c r="AM458" s="31">
        <f t="shared" si="73"/>
        <v>2409.47317</v>
      </c>
      <c r="AN458" s="31">
        <f t="shared" si="73"/>
        <v>894.06408</v>
      </c>
      <c r="AO458" s="31">
        <f t="shared" si="73"/>
        <v>0</v>
      </c>
      <c r="AP458" s="31">
        <f t="shared" si="73"/>
        <v>0</v>
      </c>
      <c r="AQ458" s="31">
        <f t="shared" si="73"/>
        <v>5.5</v>
      </c>
      <c r="AR458" s="31">
        <f t="shared" si="73"/>
        <v>0</v>
      </c>
      <c r="AS458" s="31">
        <f t="shared" si="73"/>
        <v>0</v>
      </c>
      <c r="AT458" s="31">
        <f t="shared" si="73"/>
        <v>0</v>
      </c>
      <c r="AU458" s="31">
        <f t="shared" si="73"/>
        <v>0</v>
      </c>
      <c r="AV458" s="31">
        <f t="shared" si="73"/>
        <v>0</v>
      </c>
      <c r="AW458" s="31">
        <f t="shared" si="73"/>
        <v>377.568</v>
      </c>
      <c r="AX458" s="31">
        <f t="shared" si="73"/>
        <v>3228.1600000000003</v>
      </c>
      <c r="AY458" s="31">
        <f t="shared" si="73"/>
        <v>2446.4731</v>
      </c>
      <c r="AZ458" s="31">
        <f t="shared" si="73"/>
        <v>1826.10524</v>
      </c>
      <c r="BA458" s="31">
        <f t="shared" si="73"/>
        <v>0</v>
      </c>
      <c r="BB458" s="31">
        <f t="shared" si="73"/>
        <v>0</v>
      </c>
      <c r="BC458" s="31">
        <f t="shared" si="73"/>
        <v>0</v>
      </c>
      <c r="BD458" s="31">
        <f t="shared" si="73"/>
        <v>474.9444</v>
      </c>
      <c r="BE458" s="31">
        <f t="shared" si="73"/>
        <v>3125.27533</v>
      </c>
      <c r="BF458" s="31">
        <f t="shared" si="73"/>
        <v>7199.976480000001</v>
      </c>
      <c r="BG458" s="31">
        <f t="shared" si="73"/>
        <v>4342.39219</v>
      </c>
      <c r="BH458" s="31">
        <f t="shared" si="73"/>
        <v>0</v>
      </c>
      <c r="BI458" s="31">
        <f t="shared" si="73"/>
        <v>0</v>
      </c>
      <c r="BJ458" s="31">
        <f t="shared" si="73"/>
        <v>0</v>
      </c>
      <c r="BK458" s="31">
        <f t="shared" si="73"/>
        <v>0</v>
      </c>
      <c r="BL458" s="31">
        <f t="shared" si="73"/>
        <v>0</v>
      </c>
      <c r="BM458" s="31">
        <f t="shared" si="73"/>
        <v>388.92359999999996</v>
      </c>
      <c r="BN458" s="31">
        <f t="shared" si="73"/>
        <v>0</v>
      </c>
      <c r="BO458" s="31">
        <f aca="true" t="shared" si="74" ref="BO458:BT458">SUBTOTAL(9,BO405:BO457)</f>
        <v>3000</v>
      </c>
      <c r="BP458" s="31">
        <f t="shared" si="74"/>
        <v>4840.78</v>
      </c>
      <c r="BQ458" s="31">
        <f t="shared" si="74"/>
        <v>0</v>
      </c>
      <c r="BR458" s="31">
        <f t="shared" si="74"/>
        <v>0</v>
      </c>
      <c r="BS458" s="32">
        <f t="shared" si="74"/>
        <v>0</v>
      </c>
      <c r="BT458" s="32">
        <f t="shared" si="74"/>
        <v>0</v>
      </c>
      <c r="BU458" s="33"/>
      <c r="BV458" s="34"/>
    </row>
    <row r="459" spans="1:73" ht="73.5" customHeight="1" outlineLevel="2">
      <c r="A459" s="52" t="s">
        <v>390</v>
      </c>
      <c r="B459" s="52" t="s">
        <v>338</v>
      </c>
      <c r="C459" s="39">
        <f>D459+E459</f>
        <v>287.89707999999996</v>
      </c>
      <c r="D459" s="1">
        <f aca="true" t="shared" si="75" ref="D459:D471">F459+J459+N459+R459+T459+Z459+AB459+AD459+AF459+AM459+AO459+AT459+AY459+BF459+BO459+BS459+H459+V459+X459+BQ459+AR459+BH459</f>
        <v>149.69654</v>
      </c>
      <c r="E459" s="1">
        <f aca="true" t="shared" si="76" ref="E459:E471">G459+I459+K459+L459+M459+O459+P459+Q459+S459+U459+W459+Y459+AA459+AC459+AE459+AG459+AH459+AK459+AL459+AN459+AP459+AQ459+AS459+AU459+AV459+AW459+AX459+AZ459+BA459+BB459+BC459+BD459+BE459+BG459+BI459+BJ459+BK459+BL459+BM459+BN459+BU459+BP459+BR459+BT459</f>
        <v>138.20054</v>
      </c>
      <c r="F459" s="40"/>
      <c r="G459" s="40"/>
      <c r="H459" s="40"/>
      <c r="I459" s="40"/>
      <c r="J459" s="40"/>
      <c r="K459" s="40"/>
      <c r="L459" s="40"/>
      <c r="M459" s="40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0"/>
      <c r="AA459" s="40">
        <v>11.9475</v>
      </c>
      <c r="AB459" s="42">
        <v>54.97543</v>
      </c>
      <c r="AC459" s="41">
        <v>41.95644</v>
      </c>
      <c r="AD459" s="40"/>
      <c r="AE459" s="40"/>
      <c r="AF459" s="40"/>
      <c r="AG459" s="40"/>
      <c r="AH459" s="43">
        <f>8.11197+16.8636</f>
        <v>24.97557</v>
      </c>
      <c r="AI459" s="41">
        <v>16.8636</v>
      </c>
      <c r="AJ459" s="40">
        <v>8.11197</v>
      </c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1"/>
      <c r="BA459" s="41"/>
      <c r="BB459" s="41"/>
      <c r="BC459" s="40"/>
      <c r="BD459" s="40"/>
      <c r="BE459" s="40"/>
      <c r="BF459" s="40">
        <v>94.72111</v>
      </c>
      <c r="BG459" s="40">
        <v>59.32103</v>
      </c>
      <c r="BH459" s="40"/>
      <c r="BI459" s="40"/>
      <c r="BJ459" s="40"/>
      <c r="BK459" s="40"/>
      <c r="BL459" s="40"/>
      <c r="BM459" s="40"/>
      <c r="BN459" s="40"/>
      <c r="BO459" s="41"/>
      <c r="BP459" s="41"/>
      <c r="BQ459" s="41"/>
      <c r="BR459" s="41"/>
      <c r="BS459" s="4"/>
      <c r="BT459" s="22"/>
      <c r="BU459" s="24"/>
    </row>
    <row r="460" spans="1:73" ht="73.5" customHeight="1" outlineLevel="2">
      <c r="A460" s="46" t="s">
        <v>390</v>
      </c>
      <c r="B460" s="26" t="s">
        <v>535</v>
      </c>
      <c r="C460" s="39">
        <f aca="true" t="shared" si="77" ref="C460:C471">D460+E460</f>
        <v>2550.90171</v>
      </c>
      <c r="D460" s="1">
        <f t="shared" si="75"/>
        <v>1332.2485299999998</v>
      </c>
      <c r="E460" s="1">
        <f t="shared" si="76"/>
        <v>1218.65318</v>
      </c>
      <c r="F460" s="22"/>
      <c r="G460" s="22"/>
      <c r="H460" s="22"/>
      <c r="I460" s="22"/>
      <c r="J460" s="22"/>
      <c r="K460" s="22"/>
      <c r="L460" s="22"/>
      <c r="M460" s="22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22">
        <v>17.37579</v>
      </c>
      <c r="AA460" s="22">
        <v>23.895</v>
      </c>
      <c r="AB460" s="23">
        <v>364.67617</v>
      </c>
      <c r="AC460" s="4">
        <v>216.77493</v>
      </c>
      <c r="AD460" s="22"/>
      <c r="AE460" s="22"/>
      <c r="AF460" s="22"/>
      <c r="AG460" s="22"/>
      <c r="AH460" s="20">
        <f>62.6301+63.34145</f>
        <v>125.97155000000001</v>
      </c>
      <c r="AI460" s="4">
        <v>63.34145</v>
      </c>
      <c r="AJ460" s="22">
        <v>62.6301</v>
      </c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>
        <v>238.92507</v>
      </c>
      <c r="AZ460" s="4">
        <v>408.22303</v>
      </c>
      <c r="BA460" s="4"/>
      <c r="BB460" s="4"/>
      <c r="BC460" s="22"/>
      <c r="BD460" s="22"/>
      <c r="BE460" s="22"/>
      <c r="BF460" s="22">
        <v>711.2715</v>
      </c>
      <c r="BG460" s="22">
        <v>443.78867</v>
      </c>
      <c r="BH460" s="22"/>
      <c r="BI460" s="22"/>
      <c r="BJ460" s="22"/>
      <c r="BK460" s="22"/>
      <c r="BL460" s="22"/>
      <c r="BM460" s="22"/>
      <c r="BN460" s="22"/>
      <c r="BO460" s="4"/>
      <c r="BP460" s="4"/>
      <c r="BQ460" s="4"/>
      <c r="BR460" s="4"/>
      <c r="BS460" s="4"/>
      <c r="BT460" s="22"/>
      <c r="BU460" s="24"/>
    </row>
    <row r="461" spans="1:73" ht="73.5" customHeight="1" outlineLevel="2">
      <c r="A461" s="26" t="s">
        <v>390</v>
      </c>
      <c r="B461" s="26" t="s">
        <v>888</v>
      </c>
      <c r="C461" s="39">
        <f t="shared" si="77"/>
        <v>27.24214</v>
      </c>
      <c r="D461" s="1">
        <f t="shared" si="75"/>
        <v>15.58757</v>
      </c>
      <c r="E461" s="1">
        <f t="shared" si="76"/>
        <v>11.65457</v>
      </c>
      <c r="F461" s="22"/>
      <c r="G461" s="22"/>
      <c r="H461" s="22"/>
      <c r="I461" s="22"/>
      <c r="J461" s="22"/>
      <c r="K461" s="22"/>
      <c r="L461" s="22"/>
      <c r="M461" s="22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22"/>
      <c r="AA461" s="22"/>
      <c r="AB461" s="23">
        <v>15.58757</v>
      </c>
      <c r="AC461" s="4">
        <v>11.65457</v>
      </c>
      <c r="AD461" s="22"/>
      <c r="AE461" s="22"/>
      <c r="AF461" s="22"/>
      <c r="AG461" s="22"/>
      <c r="AH461" s="20"/>
      <c r="AI461" s="4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4"/>
      <c r="BA461" s="4"/>
      <c r="BB461" s="4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4"/>
      <c r="BP461" s="4"/>
      <c r="BQ461" s="4"/>
      <c r="BR461" s="4"/>
      <c r="BS461" s="4"/>
      <c r="BT461" s="22"/>
      <c r="BU461" s="24"/>
    </row>
    <row r="462" spans="1:73" ht="73.5" customHeight="1" outlineLevel="2">
      <c r="A462" s="26" t="s">
        <v>390</v>
      </c>
      <c r="B462" s="26" t="s">
        <v>889</v>
      </c>
      <c r="C462" s="39">
        <f t="shared" si="77"/>
        <v>36.12015</v>
      </c>
      <c r="D462" s="1">
        <f t="shared" si="75"/>
        <v>22.23195</v>
      </c>
      <c r="E462" s="1">
        <f t="shared" si="76"/>
        <v>13.8882</v>
      </c>
      <c r="F462" s="22"/>
      <c r="G462" s="22"/>
      <c r="H462" s="22"/>
      <c r="I462" s="22"/>
      <c r="J462" s="22"/>
      <c r="K462" s="22"/>
      <c r="L462" s="22"/>
      <c r="M462" s="22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22"/>
      <c r="AA462" s="22"/>
      <c r="AB462" s="23"/>
      <c r="AC462" s="4"/>
      <c r="AD462" s="22"/>
      <c r="AE462" s="22"/>
      <c r="AF462" s="22"/>
      <c r="AG462" s="22"/>
      <c r="AH462" s="20"/>
      <c r="AI462" s="4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4"/>
      <c r="BA462" s="4"/>
      <c r="BB462" s="4"/>
      <c r="BC462" s="22"/>
      <c r="BD462" s="22"/>
      <c r="BE462" s="22"/>
      <c r="BF462" s="22">
        <v>22.23195</v>
      </c>
      <c r="BG462" s="22">
        <v>13.8882</v>
      </c>
      <c r="BH462" s="22"/>
      <c r="BI462" s="22"/>
      <c r="BJ462" s="22"/>
      <c r="BK462" s="22"/>
      <c r="BL462" s="22"/>
      <c r="BM462" s="22"/>
      <c r="BN462" s="22"/>
      <c r="BO462" s="4"/>
      <c r="BP462" s="4"/>
      <c r="BQ462" s="4"/>
      <c r="BR462" s="4"/>
      <c r="BS462" s="4"/>
      <c r="BT462" s="22"/>
      <c r="BU462" s="24"/>
    </row>
    <row r="463" spans="1:73" ht="73.5" customHeight="1" outlineLevel="2">
      <c r="A463" s="26" t="s">
        <v>390</v>
      </c>
      <c r="B463" s="26" t="s">
        <v>890</v>
      </c>
      <c r="C463" s="39">
        <f t="shared" si="77"/>
        <v>59.7009</v>
      </c>
      <c r="D463" s="1">
        <f t="shared" si="75"/>
        <v>35.01141</v>
      </c>
      <c r="E463" s="1">
        <f t="shared" si="76"/>
        <v>24.68949</v>
      </c>
      <c r="F463" s="22"/>
      <c r="G463" s="22"/>
      <c r="H463" s="22"/>
      <c r="I463" s="22"/>
      <c r="J463" s="22"/>
      <c r="K463" s="22"/>
      <c r="L463" s="22"/>
      <c r="M463" s="22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22"/>
      <c r="AA463" s="22"/>
      <c r="AB463" s="23">
        <v>15.57844</v>
      </c>
      <c r="AC463" s="4">
        <v>12.52866</v>
      </c>
      <c r="AD463" s="22"/>
      <c r="AE463" s="22"/>
      <c r="AF463" s="22"/>
      <c r="AG463" s="22"/>
      <c r="AH463" s="20"/>
      <c r="AI463" s="4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4"/>
      <c r="BA463" s="4"/>
      <c r="BB463" s="4"/>
      <c r="BC463" s="22"/>
      <c r="BD463" s="22"/>
      <c r="BE463" s="22"/>
      <c r="BF463" s="22">
        <v>19.43297</v>
      </c>
      <c r="BG463" s="22">
        <v>12.16083</v>
      </c>
      <c r="BH463" s="22"/>
      <c r="BI463" s="22"/>
      <c r="BJ463" s="22"/>
      <c r="BK463" s="22"/>
      <c r="BL463" s="22"/>
      <c r="BM463" s="22"/>
      <c r="BN463" s="22"/>
      <c r="BO463" s="4"/>
      <c r="BP463" s="4"/>
      <c r="BQ463" s="4"/>
      <c r="BR463" s="4"/>
      <c r="BS463" s="4"/>
      <c r="BT463" s="22"/>
      <c r="BU463" s="24"/>
    </row>
    <row r="464" spans="1:73" ht="73.5" customHeight="1" outlineLevel="2">
      <c r="A464" s="26" t="s">
        <v>390</v>
      </c>
      <c r="B464" s="26" t="s">
        <v>891</v>
      </c>
      <c r="C464" s="39">
        <f t="shared" si="77"/>
        <v>556.93872</v>
      </c>
      <c r="D464" s="1">
        <f t="shared" si="75"/>
        <v>79.14714000000001</v>
      </c>
      <c r="E464" s="1">
        <f t="shared" si="76"/>
        <v>477.79158</v>
      </c>
      <c r="F464" s="22"/>
      <c r="G464" s="22"/>
      <c r="H464" s="22"/>
      <c r="I464" s="22"/>
      <c r="J464" s="22"/>
      <c r="K464" s="22"/>
      <c r="L464" s="22"/>
      <c r="M464" s="22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22">
        <v>54</v>
      </c>
      <c r="AA464" s="22">
        <v>28.6335</v>
      </c>
      <c r="AB464" s="23">
        <v>25.14714</v>
      </c>
      <c r="AC464" s="4">
        <v>20.39549</v>
      </c>
      <c r="AD464" s="22"/>
      <c r="AE464" s="22"/>
      <c r="AF464" s="22"/>
      <c r="AG464" s="22"/>
      <c r="AH464" s="20">
        <f>4.8177+5.6212</f>
        <v>10.4389</v>
      </c>
      <c r="AI464" s="4">
        <v>5.6212</v>
      </c>
      <c r="AJ464" s="22">
        <v>4.8177</v>
      </c>
      <c r="AK464" s="22"/>
      <c r="AL464" s="22">
        <v>418.32369</v>
      </c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4"/>
      <c r="BA464" s="4"/>
      <c r="BB464" s="4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4"/>
      <c r="BP464" s="4"/>
      <c r="BQ464" s="4"/>
      <c r="BR464" s="4"/>
      <c r="BS464" s="4"/>
      <c r="BT464" s="22"/>
      <c r="BU464" s="24"/>
    </row>
    <row r="465" spans="1:73" ht="73.5" customHeight="1" outlineLevel="2">
      <c r="A465" s="46" t="s">
        <v>390</v>
      </c>
      <c r="B465" s="26" t="s">
        <v>534</v>
      </c>
      <c r="C465" s="39">
        <f t="shared" si="77"/>
        <v>560.1427699999999</v>
      </c>
      <c r="D465" s="1">
        <f t="shared" si="75"/>
        <v>264.17226</v>
      </c>
      <c r="E465" s="1">
        <f t="shared" si="76"/>
        <v>295.97051</v>
      </c>
      <c r="F465" s="22"/>
      <c r="G465" s="22"/>
      <c r="H465" s="22"/>
      <c r="I465" s="22"/>
      <c r="J465" s="22"/>
      <c r="K465" s="22"/>
      <c r="L465" s="22"/>
      <c r="M465" s="22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22"/>
      <c r="AA465" s="22"/>
      <c r="AB465" s="23">
        <v>133.90213</v>
      </c>
      <c r="AC465" s="4">
        <v>97.08253</v>
      </c>
      <c r="AD465" s="22"/>
      <c r="AE465" s="22"/>
      <c r="AF465" s="22"/>
      <c r="AG465" s="22"/>
      <c r="AH465" s="20">
        <f>16.22394+28.106</f>
        <v>44.32994</v>
      </c>
      <c r="AI465" s="4">
        <v>28.106</v>
      </c>
      <c r="AJ465" s="22">
        <v>16.22394</v>
      </c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>
        <v>130.27013</v>
      </c>
      <c r="AZ465" s="4">
        <v>154.55804</v>
      </c>
      <c r="BA465" s="4"/>
      <c r="BB465" s="4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4"/>
      <c r="BP465" s="4"/>
      <c r="BQ465" s="4"/>
      <c r="BR465" s="4"/>
      <c r="BS465" s="4"/>
      <c r="BT465" s="22"/>
      <c r="BU465" s="24"/>
    </row>
    <row r="466" spans="1:73" ht="73.5" customHeight="1" outlineLevel="2">
      <c r="A466" s="26" t="s">
        <v>390</v>
      </c>
      <c r="B466" s="26" t="s">
        <v>443</v>
      </c>
      <c r="C466" s="39">
        <f t="shared" si="77"/>
        <v>42.22352</v>
      </c>
      <c r="D466" s="1">
        <f t="shared" si="75"/>
        <v>23.57621</v>
      </c>
      <c r="E466" s="1">
        <f t="shared" si="76"/>
        <v>18.64731</v>
      </c>
      <c r="F466" s="22"/>
      <c r="G466" s="22"/>
      <c r="H466" s="22"/>
      <c r="I466" s="22"/>
      <c r="J466" s="22"/>
      <c r="K466" s="22"/>
      <c r="L466" s="22"/>
      <c r="M466" s="22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22"/>
      <c r="AA466" s="22"/>
      <c r="AB466" s="23">
        <v>23.57621</v>
      </c>
      <c r="AC466" s="4">
        <v>18.64731</v>
      </c>
      <c r="AD466" s="22"/>
      <c r="AE466" s="22"/>
      <c r="AF466" s="22"/>
      <c r="AG466" s="22"/>
      <c r="AH466" s="20"/>
      <c r="AI466" s="4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4"/>
      <c r="BA466" s="4"/>
      <c r="BB466" s="4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4"/>
      <c r="BP466" s="4"/>
      <c r="BQ466" s="4"/>
      <c r="BR466" s="4"/>
      <c r="BS466" s="4"/>
      <c r="BT466" s="22"/>
      <c r="BU466" s="24"/>
    </row>
    <row r="467" spans="1:73" ht="73.5" customHeight="1" outlineLevel="2">
      <c r="A467" s="26" t="s">
        <v>390</v>
      </c>
      <c r="B467" s="26" t="s">
        <v>892</v>
      </c>
      <c r="C467" s="39">
        <f t="shared" si="77"/>
        <v>27.70918</v>
      </c>
      <c r="D467" s="1">
        <f t="shared" si="75"/>
        <v>15.47189</v>
      </c>
      <c r="E467" s="1">
        <f t="shared" si="76"/>
        <v>12.23729</v>
      </c>
      <c r="F467" s="22"/>
      <c r="G467" s="22"/>
      <c r="H467" s="22"/>
      <c r="I467" s="22"/>
      <c r="J467" s="22"/>
      <c r="K467" s="22"/>
      <c r="L467" s="22"/>
      <c r="M467" s="22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22"/>
      <c r="AA467" s="22"/>
      <c r="AB467" s="23">
        <v>15.47189</v>
      </c>
      <c r="AC467" s="4">
        <v>12.23729</v>
      </c>
      <c r="AD467" s="22"/>
      <c r="AE467" s="22"/>
      <c r="AF467" s="22"/>
      <c r="AG467" s="22"/>
      <c r="AH467" s="20"/>
      <c r="AI467" s="4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4"/>
      <c r="BA467" s="4"/>
      <c r="BB467" s="4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4"/>
      <c r="BP467" s="4"/>
      <c r="BQ467" s="4"/>
      <c r="BR467" s="4"/>
      <c r="BS467" s="4"/>
      <c r="BT467" s="22"/>
      <c r="BU467" s="24"/>
    </row>
    <row r="468" spans="1:73" ht="73.5" customHeight="1" outlineLevel="2">
      <c r="A468" s="26" t="s">
        <v>390</v>
      </c>
      <c r="B468" s="26" t="s">
        <v>893</v>
      </c>
      <c r="C468" s="39">
        <f t="shared" si="77"/>
        <v>105.68010000000001</v>
      </c>
      <c r="D468" s="1">
        <f t="shared" si="75"/>
        <v>47.68447</v>
      </c>
      <c r="E468" s="1">
        <f t="shared" si="76"/>
        <v>57.995630000000006</v>
      </c>
      <c r="F468" s="22"/>
      <c r="G468" s="22"/>
      <c r="H468" s="22"/>
      <c r="I468" s="22"/>
      <c r="J468" s="22"/>
      <c r="K468" s="22"/>
      <c r="L468" s="22"/>
      <c r="M468" s="2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22">
        <v>20.85095</v>
      </c>
      <c r="AA468" s="22">
        <v>28.6335</v>
      </c>
      <c r="AB468" s="23">
        <v>11.49584</v>
      </c>
      <c r="AC468" s="4">
        <v>9.32365</v>
      </c>
      <c r="AD468" s="22"/>
      <c r="AE468" s="22"/>
      <c r="AF468" s="22"/>
      <c r="AG468" s="22"/>
      <c r="AH468" s="20">
        <f>4.8177+5.6212</f>
        <v>10.4389</v>
      </c>
      <c r="AI468" s="4">
        <v>5.6212</v>
      </c>
      <c r="AJ468" s="22">
        <v>4.8177</v>
      </c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4"/>
      <c r="BA468" s="4"/>
      <c r="BB468" s="4"/>
      <c r="BC468" s="22"/>
      <c r="BD468" s="22"/>
      <c r="BE468" s="22"/>
      <c r="BF468" s="22">
        <v>15.33768</v>
      </c>
      <c r="BG468" s="22">
        <v>9.59958</v>
      </c>
      <c r="BH468" s="22"/>
      <c r="BI468" s="22"/>
      <c r="BJ468" s="22"/>
      <c r="BK468" s="22"/>
      <c r="BL468" s="22"/>
      <c r="BM468" s="22"/>
      <c r="BN468" s="22"/>
      <c r="BO468" s="4"/>
      <c r="BP468" s="4"/>
      <c r="BQ468" s="4"/>
      <c r="BR468" s="4"/>
      <c r="BS468" s="4"/>
      <c r="BT468" s="22"/>
      <c r="BU468" s="24"/>
    </row>
    <row r="469" spans="1:73" ht="73.5" customHeight="1" outlineLevel="2">
      <c r="A469" s="26" t="s">
        <v>390</v>
      </c>
      <c r="B469" s="26" t="s">
        <v>894</v>
      </c>
      <c r="C469" s="39">
        <f t="shared" si="77"/>
        <v>3.1145999999999976</v>
      </c>
      <c r="D469" s="1">
        <f t="shared" si="75"/>
        <v>1.9166299999999978</v>
      </c>
      <c r="E469" s="1">
        <f t="shared" si="76"/>
        <v>1.1979699999999998</v>
      </c>
      <c r="F469" s="22"/>
      <c r="G469" s="22"/>
      <c r="H469" s="22"/>
      <c r="I469" s="22"/>
      <c r="J469" s="22"/>
      <c r="K469" s="22"/>
      <c r="L469" s="22"/>
      <c r="M469" s="22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22"/>
      <c r="AA469" s="22"/>
      <c r="AB469" s="23"/>
      <c r="AC469" s="4"/>
      <c r="AD469" s="22"/>
      <c r="AE469" s="22"/>
      <c r="AF469" s="22"/>
      <c r="AG469" s="22"/>
      <c r="AH469" s="20"/>
      <c r="AI469" s="4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4"/>
      <c r="BA469" s="4"/>
      <c r="BB469" s="4"/>
      <c r="BC469" s="22"/>
      <c r="BD469" s="22"/>
      <c r="BE469" s="22"/>
      <c r="BF469" s="22">
        <f>20.58563-18.669</f>
        <v>1.9166299999999978</v>
      </c>
      <c r="BG469" s="22">
        <f>12.92097-11.723</f>
        <v>1.1979699999999998</v>
      </c>
      <c r="BH469" s="22"/>
      <c r="BI469" s="22"/>
      <c r="BJ469" s="22"/>
      <c r="BK469" s="22"/>
      <c r="BL469" s="22"/>
      <c r="BM469" s="22"/>
      <c r="BN469" s="22"/>
      <c r="BO469" s="4"/>
      <c r="BP469" s="4"/>
      <c r="BQ469" s="4"/>
      <c r="BR469" s="4"/>
      <c r="BS469" s="4"/>
      <c r="BT469" s="22"/>
      <c r="BU469" s="24"/>
    </row>
    <row r="470" spans="1:73" ht="73.5" customHeight="1" outlineLevel="2">
      <c r="A470" s="26" t="s">
        <v>390</v>
      </c>
      <c r="B470" s="26" t="s">
        <v>61</v>
      </c>
      <c r="C470" s="39">
        <f t="shared" si="77"/>
        <v>24.572639999999996</v>
      </c>
      <c r="D470" s="1">
        <f t="shared" si="75"/>
        <v>15.166919999999998</v>
      </c>
      <c r="E470" s="1">
        <f t="shared" si="76"/>
        <v>9.405719999999999</v>
      </c>
      <c r="F470" s="22"/>
      <c r="G470" s="22"/>
      <c r="H470" s="22"/>
      <c r="I470" s="22"/>
      <c r="J470" s="22"/>
      <c r="K470" s="22"/>
      <c r="L470" s="22"/>
      <c r="M470" s="22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22"/>
      <c r="AA470" s="22"/>
      <c r="AB470" s="23"/>
      <c r="AC470" s="4"/>
      <c r="AD470" s="22"/>
      <c r="AE470" s="22"/>
      <c r="AF470" s="22"/>
      <c r="AG470" s="22"/>
      <c r="AH470" s="20"/>
      <c r="AI470" s="4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4"/>
      <c r="BA470" s="4"/>
      <c r="BB470" s="4"/>
      <c r="BC470" s="22"/>
      <c r="BD470" s="22"/>
      <c r="BE470" s="22"/>
      <c r="BF470" s="22">
        <f>52.50492-37.338</f>
        <v>15.166919999999998</v>
      </c>
      <c r="BG470" s="22">
        <f>32.85172-23.446</f>
        <v>9.405719999999999</v>
      </c>
      <c r="BH470" s="22"/>
      <c r="BI470" s="22"/>
      <c r="BJ470" s="22"/>
      <c r="BK470" s="22"/>
      <c r="BL470" s="22"/>
      <c r="BM470" s="22"/>
      <c r="BN470" s="22"/>
      <c r="BO470" s="4"/>
      <c r="BP470" s="4"/>
      <c r="BQ470" s="4"/>
      <c r="BR470" s="4"/>
      <c r="BS470" s="4"/>
      <c r="BT470" s="22"/>
      <c r="BU470" s="24"/>
    </row>
    <row r="471" spans="1:73" ht="73.5" customHeight="1" outlineLevel="2" thickBot="1">
      <c r="A471" s="59" t="s">
        <v>390</v>
      </c>
      <c r="B471" s="26" t="s">
        <v>895</v>
      </c>
      <c r="C471" s="39">
        <f t="shared" si="77"/>
        <v>30.332700000000003</v>
      </c>
      <c r="D471" s="1">
        <f t="shared" si="75"/>
        <v>0</v>
      </c>
      <c r="E471" s="1">
        <f t="shared" si="76"/>
        <v>30.332700000000003</v>
      </c>
      <c r="F471" s="60"/>
      <c r="G471" s="60"/>
      <c r="H471" s="60"/>
      <c r="I471" s="60"/>
      <c r="J471" s="60"/>
      <c r="K471" s="60"/>
      <c r="L471" s="60"/>
      <c r="M471" s="60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0"/>
      <c r="AA471" s="60">
        <v>25.515</v>
      </c>
      <c r="AB471" s="67"/>
      <c r="AC471" s="61"/>
      <c r="AD471" s="60"/>
      <c r="AE471" s="60"/>
      <c r="AF471" s="60"/>
      <c r="AG471" s="60"/>
      <c r="AH471" s="62">
        <v>4.8177</v>
      </c>
      <c r="AI471" s="61"/>
      <c r="AJ471" s="22">
        <v>4.8177</v>
      </c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1"/>
      <c r="BA471" s="61"/>
      <c r="BB471" s="61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1"/>
      <c r="BP471" s="61"/>
      <c r="BQ471" s="61"/>
      <c r="BR471" s="61"/>
      <c r="BS471" s="4"/>
      <c r="BT471" s="22"/>
      <c r="BU471" s="24"/>
    </row>
    <row r="472" spans="1:74" s="35" customFormat="1" ht="73.5" customHeight="1" outlineLevel="1" thickBot="1">
      <c r="A472" s="29" t="s">
        <v>3</v>
      </c>
      <c r="B472" s="54"/>
      <c r="C472" s="31">
        <f>SUBTOTAL(9,C459:C471)</f>
        <v>4312.576209999999</v>
      </c>
      <c r="D472" s="31">
        <f>SUBTOTAL(9,D459:D471)</f>
        <v>2001.9115199999997</v>
      </c>
      <c r="E472" s="31">
        <f>SUBTOTAL(9,E459:E471)</f>
        <v>2310.66469</v>
      </c>
      <c r="F472" s="31">
        <f aca="true" t="shared" si="78" ref="F472:BP472">SUBTOTAL(9,F459:F471)</f>
        <v>0</v>
      </c>
      <c r="G472" s="31">
        <f t="shared" si="78"/>
        <v>0</v>
      </c>
      <c r="H472" s="31">
        <f t="shared" si="78"/>
        <v>0</v>
      </c>
      <c r="I472" s="31">
        <f t="shared" si="78"/>
        <v>0</v>
      </c>
      <c r="J472" s="31">
        <f t="shared" si="78"/>
        <v>0</v>
      </c>
      <c r="K472" s="31">
        <f t="shared" si="78"/>
        <v>0</v>
      </c>
      <c r="L472" s="31">
        <f t="shared" si="78"/>
        <v>0</v>
      </c>
      <c r="M472" s="31">
        <f t="shared" si="78"/>
        <v>0</v>
      </c>
      <c r="N472" s="31">
        <f t="shared" si="78"/>
        <v>0</v>
      </c>
      <c r="O472" s="31">
        <f t="shared" si="78"/>
        <v>0</v>
      </c>
      <c r="P472" s="31">
        <f t="shared" si="78"/>
        <v>0</v>
      </c>
      <c r="Q472" s="31">
        <f t="shared" si="78"/>
        <v>0</v>
      </c>
      <c r="R472" s="31">
        <f t="shared" si="78"/>
        <v>0</v>
      </c>
      <c r="S472" s="31">
        <f t="shared" si="78"/>
        <v>0</v>
      </c>
      <c r="T472" s="31">
        <f t="shared" si="78"/>
        <v>0</v>
      </c>
      <c r="U472" s="31">
        <f t="shared" si="78"/>
        <v>0</v>
      </c>
      <c r="V472" s="31">
        <f t="shared" si="78"/>
        <v>0</v>
      </c>
      <c r="W472" s="31">
        <f t="shared" si="78"/>
        <v>0</v>
      </c>
      <c r="X472" s="31">
        <f t="shared" si="78"/>
        <v>0</v>
      </c>
      <c r="Y472" s="31">
        <f t="shared" si="78"/>
        <v>0</v>
      </c>
      <c r="Z472" s="31">
        <f t="shared" si="78"/>
        <v>92.22673999999999</v>
      </c>
      <c r="AA472" s="31">
        <f t="shared" si="78"/>
        <v>118.6245</v>
      </c>
      <c r="AB472" s="31">
        <f t="shared" si="78"/>
        <v>660.4108200000001</v>
      </c>
      <c r="AC472" s="31">
        <f t="shared" si="78"/>
        <v>440.60087</v>
      </c>
      <c r="AD472" s="31">
        <f t="shared" si="78"/>
        <v>0</v>
      </c>
      <c r="AE472" s="31">
        <f t="shared" si="78"/>
        <v>0</v>
      </c>
      <c r="AF472" s="31">
        <f t="shared" si="78"/>
        <v>0</v>
      </c>
      <c r="AG472" s="31">
        <f t="shared" si="78"/>
        <v>0</v>
      </c>
      <c r="AH472" s="31">
        <f t="shared" si="78"/>
        <v>220.97256</v>
      </c>
      <c r="AI472" s="31">
        <f t="shared" si="78"/>
        <v>119.55345000000001</v>
      </c>
      <c r="AJ472" s="31">
        <f t="shared" si="78"/>
        <v>101.41911</v>
      </c>
      <c r="AK472" s="31">
        <f t="shared" si="78"/>
        <v>0</v>
      </c>
      <c r="AL472" s="31">
        <f t="shared" si="78"/>
        <v>418.32369</v>
      </c>
      <c r="AM472" s="31">
        <f t="shared" si="78"/>
        <v>0</v>
      </c>
      <c r="AN472" s="31">
        <f t="shared" si="78"/>
        <v>0</v>
      </c>
      <c r="AO472" s="31">
        <f>SUBTOTAL(9,AO459:AO471)</f>
        <v>0</v>
      </c>
      <c r="AP472" s="31">
        <f>SUBTOTAL(9,AP459:AP471)</f>
        <v>0</v>
      </c>
      <c r="AQ472" s="31">
        <f t="shared" si="78"/>
        <v>0</v>
      </c>
      <c r="AR472" s="31">
        <f t="shared" si="78"/>
        <v>0</v>
      </c>
      <c r="AS472" s="31">
        <f t="shared" si="78"/>
        <v>0</v>
      </c>
      <c r="AT472" s="31">
        <f t="shared" si="78"/>
        <v>0</v>
      </c>
      <c r="AU472" s="31">
        <f t="shared" si="78"/>
        <v>0</v>
      </c>
      <c r="AV472" s="31">
        <f t="shared" si="78"/>
        <v>0</v>
      </c>
      <c r="AW472" s="31">
        <f t="shared" si="78"/>
        <v>0</v>
      </c>
      <c r="AX472" s="31">
        <f t="shared" si="78"/>
        <v>0</v>
      </c>
      <c r="AY472" s="31">
        <f t="shared" si="78"/>
        <v>369.1952</v>
      </c>
      <c r="AZ472" s="31">
        <f t="shared" si="78"/>
        <v>562.78107</v>
      </c>
      <c r="BA472" s="31">
        <f t="shared" si="78"/>
        <v>0</v>
      </c>
      <c r="BB472" s="31">
        <f t="shared" si="78"/>
        <v>0</v>
      </c>
      <c r="BC472" s="31">
        <f t="shared" si="78"/>
        <v>0</v>
      </c>
      <c r="BD472" s="31">
        <f t="shared" si="78"/>
        <v>0</v>
      </c>
      <c r="BE472" s="31">
        <f t="shared" si="78"/>
        <v>0</v>
      </c>
      <c r="BF472" s="31">
        <f t="shared" si="78"/>
        <v>880.0787599999998</v>
      </c>
      <c r="BG472" s="31">
        <f t="shared" si="78"/>
        <v>549.3620000000001</v>
      </c>
      <c r="BH472" s="31">
        <f t="shared" si="78"/>
        <v>0</v>
      </c>
      <c r="BI472" s="31">
        <f t="shared" si="78"/>
        <v>0</v>
      </c>
      <c r="BJ472" s="31">
        <f t="shared" si="78"/>
        <v>0</v>
      </c>
      <c r="BK472" s="31">
        <f t="shared" si="78"/>
        <v>0</v>
      </c>
      <c r="BL472" s="31">
        <f t="shared" si="78"/>
        <v>0</v>
      </c>
      <c r="BM472" s="31">
        <f t="shared" si="78"/>
        <v>0</v>
      </c>
      <c r="BN472" s="31">
        <f t="shared" si="78"/>
        <v>0</v>
      </c>
      <c r="BO472" s="31">
        <f t="shared" si="78"/>
        <v>0</v>
      </c>
      <c r="BP472" s="31">
        <f t="shared" si="78"/>
        <v>0</v>
      </c>
      <c r="BQ472" s="31">
        <f>SUBTOTAL(9,BQ459:BQ471)</f>
        <v>0</v>
      </c>
      <c r="BR472" s="31">
        <f>SUBTOTAL(9,BR459:BR471)</f>
        <v>0</v>
      </c>
      <c r="BS472" s="32">
        <f>SUBTOTAL(9,BS459:BS471)</f>
        <v>0</v>
      </c>
      <c r="BT472" s="32">
        <f>SUBTOTAL(9,BT459:BT471)</f>
        <v>0</v>
      </c>
      <c r="BU472" s="33"/>
      <c r="BV472" s="34"/>
    </row>
    <row r="473" spans="1:73" ht="73.5" customHeight="1" outlineLevel="2">
      <c r="A473" s="36" t="s">
        <v>407</v>
      </c>
      <c r="B473" s="52" t="s">
        <v>375</v>
      </c>
      <c r="C473" s="39">
        <f>D473+E473</f>
        <v>25760.98345</v>
      </c>
      <c r="D473" s="1">
        <f aca="true" t="shared" si="79" ref="D473:D512">F473+J473+N473+R473+T473+Z473+AB473+AD473+AF473+AM473+AO473+AT473+AY473+BF473+BO473+BS473+H473+V473+X473+BQ473+AR473+BH473</f>
        <v>12564.796620000001</v>
      </c>
      <c r="E473" s="1">
        <f aca="true" t="shared" si="80" ref="E473:E512">G473+I473+K473+L473+M473+O473+P473+Q473+S473+U473+W473+Y473+AA473+AC473+AE473+AG473+AH473+AK473+AL473+AN473+AP473+AQ473+AS473+AU473+AV473+AW473+AX473+AZ473+BA473+BB473+BC473+BD473+BE473+BG473+BI473+BJ473+BK473+BL473+BM473+BN473+BU473+BP473+BR473+BT473</f>
        <v>13196.18683</v>
      </c>
      <c r="F473" s="40"/>
      <c r="G473" s="40"/>
      <c r="H473" s="40"/>
      <c r="I473" s="40">
        <v>22.31149</v>
      </c>
      <c r="J473" s="40">
        <v>1572.87776</v>
      </c>
      <c r="K473" s="40">
        <v>653.23974</v>
      </c>
      <c r="L473" s="40"/>
      <c r="M473" s="40"/>
      <c r="N473" s="41"/>
      <c r="O473" s="41"/>
      <c r="P473" s="41"/>
      <c r="Q473" s="41"/>
      <c r="R473" s="41">
        <v>190.7635</v>
      </c>
      <c r="S473" s="41">
        <v>71.49363</v>
      </c>
      <c r="T473" s="41"/>
      <c r="U473" s="41"/>
      <c r="V473" s="41"/>
      <c r="W473" s="41"/>
      <c r="X473" s="41"/>
      <c r="Y473" s="41"/>
      <c r="Z473" s="40"/>
      <c r="AA473" s="40">
        <v>79.65</v>
      </c>
      <c r="AB473" s="42">
        <v>353.32647</v>
      </c>
      <c r="AC473" s="41">
        <v>82.98051</v>
      </c>
      <c r="AD473" s="40"/>
      <c r="AE473" s="40"/>
      <c r="AF473" s="40"/>
      <c r="AG473" s="40"/>
      <c r="AH473" s="43">
        <f>370.9125+252.92925+253.7379</f>
        <v>877.57965</v>
      </c>
      <c r="AI473" s="41">
        <v>253.7379</v>
      </c>
      <c r="AJ473" s="40">
        <v>623.84175</v>
      </c>
      <c r="AK473" s="40"/>
      <c r="AL473" s="40"/>
      <c r="AM473" s="40">
        <v>3396.39199</v>
      </c>
      <c r="AN473" s="40">
        <v>1360.8504</v>
      </c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>
        <v>4628.11182</v>
      </c>
      <c r="AZ473" s="41">
        <v>3397.41046</v>
      </c>
      <c r="BA473" s="41"/>
      <c r="BB473" s="41"/>
      <c r="BC473" s="40"/>
      <c r="BD473" s="40">
        <v>83.5982</v>
      </c>
      <c r="BE473" s="40">
        <v>5051.83321</v>
      </c>
      <c r="BF473" s="40">
        <v>2423.32508</v>
      </c>
      <c r="BG473" s="40">
        <v>1515.23954</v>
      </c>
      <c r="BH473" s="40"/>
      <c r="BI473" s="40"/>
      <c r="BJ473" s="40"/>
      <c r="BK473" s="40"/>
      <c r="BL473" s="40"/>
      <c r="BM473" s="40"/>
      <c r="BN473" s="40"/>
      <c r="BO473" s="41"/>
      <c r="BP473" s="41"/>
      <c r="BQ473" s="41"/>
      <c r="BR473" s="41"/>
      <c r="BS473" s="4"/>
      <c r="BT473" s="22"/>
      <c r="BU473" s="24"/>
    </row>
    <row r="474" spans="1:73" ht="73.5" customHeight="1" outlineLevel="2">
      <c r="A474" s="46" t="s">
        <v>407</v>
      </c>
      <c r="B474" s="45" t="s">
        <v>376</v>
      </c>
      <c r="C474" s="39">
        <f aca="true" t="shared" si="81" ref="C474:C512">D474+E474</f>
        <v>50420.00988</v>
      </c>
      <c r="D474" s="1">
        <f t="shared" si="79"/>
        <v>20260.83305</v>
      </c>
      <c r="E474" s="1">
        <f t="shared" si="80"/>
        <v>30159.17683</v>
      </c>
      <c r="F474" s="22"/>
      <c r="G474" s="22"/>
      <c r="H474" s="22"/>
      <c r="I474" s="22"/>
      <c r="J474" s="22">
        <v>368.51911</v>
      </c>
      <c r="K474" s="22">
        <v>112.03166</v>
      </c>
      <c r="L474" s="22">
        <v>34.68201</v>
      </c>
      <c r="M474" s="22"/>
      <c r="N474" s="4"/>
      <c r="O474" s="4"/>
      <c r="P474" s="4">
        <v>2217.82696</v>
      </c>
      <c r="Q474" s="4"/>
      <c r="R474" s="4">
        <v>2873.8749</v>
      </c>
      <c r="S474" s="4">
        <v>2130.60715</v>
      </c>
      <c r="T474" s="4"/>
      <c r="U474" s="4"/>
      <c r="V474" s="4"/>
      <c r="W474" s="4"/>
      <c r="X474" s="4"/>
      <c r="Y474" s="4"/>
      <c r="Z474" s="22"/>
      <c r="AA474" s="22">
        <v>95.5395</v>
      </c>
      <c r="AB474" s="23">
        <v>906.64151</v>
      </c>
      <c r="AC474" s="4">
        <v>374.81084</v>
      </c>
      <c r="AD474" s="22"/>
      <c r="AE474" s="22"/>
      <c r="AF474" s="22"/>
      <c r="AG474" s="22"/>
      <c r="AH474" s="20">
        <f>551.62665+57.8124+477.11735</f>
        <v>1086.5564</v>
      </c>
      <c r="AI474" s="4">
        <v>477.11735</v>
      </c>
      <c r="AJ474" s="22">
        <v>609.43905</v>
      </c>
      <c r="AK474" s="22"/>
      <c r="AL474" s="22"/>
      <c r="AM474" s="22">
        <v>5222.40919</v>
      </c>
      <c r="AN474" s="22">
        <v>1997.3772</v>
      </c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>
        <v>6360.16035</v>
      </c>
      <c r="AZ474" s="4">
        <v>6606.44662</v>
      </c>
      <c r="BA474" s="4"/>
      <c r="BB474" s="4"/>
      <c r="BC474" s="22"/>
      <c r="BD474" s="22">
        <v>12062.51451</v>
      </c>
      <c r="BE474" s="22">
        <v>210</v>
      </c>
      <c r="BF474" s="22">
        <v>4529.22799</v>
      </c>
      <c r="BG474" s="22">
        <v>2831.17675</v>
      </c>
      <c r="BH474" s="22"/>
      <c r="BI474" s="22"/>
      <c r="BJ474" s="22">
        <v>399.60723</v>
      </c>
      <c r="BK474" s="22"/>
      <c r="BL474" s="22"/>
      <c r="BM474" s="22"/>
      <c r="BN474" s="22"/>
      <c r="BO474" s="4"/>
      <c r="BP474" s="4"/>
      <c r="BQ474" s="4"/>
      <c r="BR474" s="4"/>
      <c r="BS474" s="4"/>
      <c r="BT474" s="22"/>
      <c r="BU474" s="24"/>
    </row>
    <row r="475" spans="1:73" ht="73.5" customHeight="1" outlineLevel="2">
      <c r="A475" s="46" t="s">
        <v>407</v>
      </c>
      <c r="B475" s="45" t="s">
        <v>592</v>
      </c>
      <c r="C475" s="39">
        <f t="shared" si="81"/>
        <v>6302.65458</v>
      </c>
      <c r="D475" s="1">
        <f t="shared" si="79"/>
        <v>3291.05066</v>
      </c>
      <c r="E475" s="1">
        <f t="shared" si="80"/>
        <v>3011.60392</v>
      </c>
      <c r="F475" s="22"/>
      <c r="G475" s="22"/>
      <c r="H475" s="22"/>
      <c r="I475" s="22"/>
      <c r="J475" s="22"/>
      <c r="K475" s="22"/>
      <c r="L475" s="22"/>
      <c r="M475" s="22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22"/>
      <c r="AA475" s="22">
        <v>172.206</v>
      </c>
      <c r="AB475" s="23"/>
      <c r="AC475" s="4"/>
      <c r="AD475" s="22"/>
      <c r="AE475" s="22"/>
      <c r="AF475" s="22"/>
      <c r="AG475" s="22"/>
      <c r="AH475" s="20">
        <f>175.84605+270.2294</f>
        <v>446.07545</v>
      </c>
      <c r="AI475" s="4">
        <v>270.2294</v>
      </c>
      <c r="AJ475" s="22">
        <v>175.84605</v>
      </c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4"/>
      <c r="BA475" s="4"/>
      <c r="BB475" s="4"/>
      <c r="BC475" s="22"/>
      <c r="BD475" s="22"/>
      <c r="BE475" s="22"/>
      <c r="BF475" s="22">
        <v>3291.05066</v>
      </c>
      <c r="BG475" s="22">
        <v>2054.38079</v>
      </c>
      <c r="BH475" s="22"/>
      <c r="BI475" s="22"/>
      <c r="BJ475" s="22">
        <v>338.94168</v>
      </c>
      <c r="BK475" s="22"/>
      <c r="BL475" s="22"/>
      <c r="BM475" s="22"/>
      <c r="BN475" s="22"/>
      <c r="BO475" s="4"/>
      <c r="BP475" s="4"/>
      <c r="BQ475" s="4"/>
      <c r="BR475" s="4"/>
      <c r="BS475" s="4"/>
      <c r="BT475" s="22"/>
      <c r="BU475" s="24"/>
    </row>
    <row r="476" spans="1:73" ht="73.5" customHeight="1" outlineLevel="2">
      <c r="A476" s="46" t="s">
        <v>407</v>
      </c>
      <c r="B476" s="45" t="s">
        <v>377</v>
      </c>
      <c r="C476" s="39">
        <f t="shared" si="81"/>
        <v>68698.06824</v>
      </c>
      <c r="D476" s="1">
        <f t="shared" si="79"/>
        <v>24912.88953</v>
      </c>
      <c r="E476" s="1">
        <f t="shared" si="80"/>
        <v>43785.17871</v>
      </c>
      <c r="F476" s="22"/>
      <c r="G476" s="22"/>
      <c r="H476" s="22"/>
      <c r="I476" s="22"/>
      <c r="J476" s="22"/>
      <c r="K476" s="22"/>
      <c r="L476" s="22"/>
      <c r="M476" s="22"/>
      <c r="N476" s="4"/>
      <c r="O476" s="4"/>
      <c r="P476" s="4">
        <v>322.98193</v>
      </c>
      <c r="Q476" s="4"/>
      <c r="R476" s="4">
        <v>1593.94092</v>
      </c>
      <c r="S476" s="4">
        <v>1130.5915</v>
      </c>
      <c r="T476" s="4"/>
      <c r="U476" s="4"/>
      <c r="V476" s="4"/>
      <c r="W476" s="4"/>
      <c r="X476" s="4">
        <v>60.88809</v>
      </c>
      <c r="Y476" s="4">
        <v>46.61176</v>
      </c>
      <c r="Z476" s="22"/>
      <c r="AA476" s="22">
        <v>120.555</v>
      </c>
      <c r="AB476" s="23">
        <v>2355.0803</v>
      </c>
      <c r="AC476" s="4">
        <v>699.27396</v>
      </c>
      <c r="AD476" s="22"/>
      <c r="AE476" s="22"/>
      <c r="AF476" s="22"/>
      <c r="AG476" s="22"/>
      <c r="AH476" s="20">
        <f>936.1125+486.5877+50.58585+607.0896</f>
        <v>2080.37565</v>
      </c>
      <c r="AI476" s="4">
        <v>607.0896</v>
      </c>
      <c r="AJ476" s="22">
        <v>1473.28605</v>
      </c>
      <c r="AK476" s="22"/>
      <c r="AL476" s="22">
        <f>2827.40315+1652.78443</f>
        <v>4480.18758</v>
      </c>
      <c r="AM476" s="22">
        <v>6147.15647</v>
      </c>
      <c r="AN476" s="22">
        <v>2298.81288</v>
      </c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>
        <v>9779.67799</v>
      </c>
      <c r="AZ476" s="4">
        <v>12093.95498</v>
      </c>
      <c r="BA476" s="4"/>
      <c r="BB476" s="4"/>
      <c r="BC476" s="22"/>
      <c r="BD476" s="22">
        <f>11822.66772+4740.13525</f>
        <v>16562.80297</v>
      </c>
      <c r="BE476" s="22">
        <v>835.42927</v>
      </c>
      <c r="BF476" s="22">
        <v>4976.14576</v>
      </c>
      <c r="BG476" s="22">
        <v>3113.60123</v>
      </c>
      <c r="BH476" s="22"/>
      <c r="BI476" s="22"/>
      <c r="BJ476" s="22"/>
      <c r="BK476" s="22"/>
      <c r="BL476" s="22"/>
      <c r="BM476" s="22"/>
      <c r="BN476" s="22"/>
      <c r="BO476" s="4"/>
      <c r="BP476" s="4"/>
      <c r="BQ476" s="4"/>
      <c r="BR476" s="4"/>
      <c r="BS476" s="4"/>
      <c r="BT476" s="22"/>
      <c r="BU476" s="24"/>
    </row>
    <row r="477" spans="1:73" ht="73.5" customHeight="1" outlineLevel="2">
      <c r="A477" s="46" t="s">
        <v>407</v>
      </c>
      <c r="B477" s="45" t="s">
        <v>67</v>
      </c>
      <c r="C477" s="39">
        <f t="shared" si="81"/>
        <v>33422.209969999996</v>
      </c>
      <c r="D477" s="1">
        <f t="shared" si="79"/>
        <v>17295.67336</v>
      </c>
      <c r="E477" s="1">
        <f t="shared" si="80"/>
        <v>16126.53661</v>
      </c>
      <c r="F477" s="22"/>
      <c r="G477" s="22"/>
      <c r="H477" s="22"/>
      <c r="I477" s="22"/>
      <c r="J477" s="22">
        <v>169.03527</v>
      </c>
      <c r="K477" s="22">
        <v>80.48838</v>
      </c>
      <c r="L477" s="22"/>
      <c r="M477" s="22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22">
        <v>19.30643</v>
      </c>
      <c r="AA477" s="22">
        <v>96.255</v>
      </c>
      <c r="AB477" s="23">
        <v>1447.67646</v>
      </c>
      <c r="AC477" s="4">
        <v>453.36261</v>
      </c>
      <c r="AD477" s="22"/>
      <c r="AE477" s="22"/>
      <c r="AF477" s="22"/>
      <c r="AG477" s="22"/>
      <c r="AH477" s="20">
        <f>459.225+135.1995+180.66375+36.13275+212.8304+375.1717</f>
        <v>1399.2231000000002</v>
      </c>
      <c r="AI477" s="4">
        <f>212.8304+375.1717</f>
        <v>588.0020999999999</v>
      </c>
      <c r="AJ477" s="22">
        <f>459.225+180.66375+135.1995+36.13275</f>
        <v>811.221</v>
      </c>
      <c r="AK477" s="22"/>
      <c r="AL477" s="22"/>
      <c r="AM477" s="22">
        <v>6089.81625</v>
      </c>
      <c r="AN477" s="22">
        <v>1646.19</v>
      </c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>
        <v>6146.45364</v>
      </c>
      <c r="AZ477" s="4">
        <v>6463.18563</v>
      </c>
      <c r="BA477" s="4"/>
      <c r="BB477" s="4"/>
      <c r="BC477" s="22"/>
      <c r="BD477" s="22">
        <v>1709.94005</v>
      </c>
      <c r="BE477" s="22">
        <v>2141.50614</v>
      </c>
      <c r="BF477" s="22">
        <f>3462.96359-39.57828</f>
        <v>3423.3853099999997</v>
      </c>
      <c r="BG477" s="22">
        <f>2161.23846-24.85276</f>
        <v>2136.3857</v>
      </c>
      <c r="BH477" s="22"/>
      <c r="BI477" s="22"/>
      <c r="BJ477" s="22"/>
      <c r="BK477" s="22"/>
      <c r="BL477" s="22"/>
      <c r="BM477" s="22"/>
      <c r="BN477" s="22"/>
      <c r="BO477" s="4"/>
      <c r="BP477" s="4"/>
      <c r="BQ477" s="4"/>
      <c r="BR477" s="4"/>
      <c r="BS477" s="4"/>
      <c r="BT477" s="22"/>
      <c r="BU477" s="24"/>
    </row>
    <row r="478" spans="1:73" ht="73.5" customHeight="1" outlineLevel="2">
      <c r="A478" s="46" t="s">
        <v>407</v>
      </c>
      <c r="B478" s="45" t="s">
        <v>378</v>
      </c>
      <c r="C478" s="39">
        <f t="shared" si="81"/>
        <v>27093.742169999998</v>
      </c>
      <c r="D478" s="1">
        <f t="shared" si="79"/>
        <v>11490.222249999999</v>
      </c>
      <c r="E478" s="1">
        <f t="shared" si="80"/>
        <v>15603.519919999999</v>
      </c>
      <c r="F478" s="22"/>
      <c r="G478" s="22"/>
      <c r="H478" s="22"/>
      <c r="I478" s="22"/>
      <c r="J478" s="22">
        <v>1369.19689</v>
      </c>
      <c r="K478" s="22">
        <v>382.0018</v>
      </c>
      <c r="L478" s="22">
        <v>220.66869</v>
      </c>
      <c r="M478" s="22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22">
        <v>78.19105</v>
      </c>
      <c r="AA478" s="22">
        <v>119.043</v>
      </c>
      <c r="AB478" s="23">
        <v>647.16466</v>
      </c>
      <c r="AC478" s="4">
        <v>192.76652</v>
      </c>
      <c r="AD478" s="22"/>
      <c r="AE478" s="22"/>
      <c r="AF478" s="22"/>
      <c r="AG478" s="22"/>
      <c r="AH478" s="20">
        <f>370.9125+303.5151+292.3421</f>
        <v>966.7697000000001</v>
      </c>
      <c r="AI478" s="4">
        <v>292.3421</v>
      </c>
      <c r="AJ478" s="22">
        <v>674.4276</v>
      </c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>
        <v>6352.15308</v>
      </c>
      <c r="AZ478" s="4">
        <v>8058.44939</v>
      </c>
      <c r="BA478" s="4"/>
      <c r="BB478" s="4"/>
      <c r="BC478" s="22"/>
      <c r="BD478" s="22">
        <f>149.8595+354.5</f>
        <v>504.3595</v>
      </c>
      <c r="BE478" s="22">
        <v>2929.43982</v>
      </c>
      <c r="BF478" s="22">
        <v>3043.51657</v>
      </c>
      <c r="BG478" s="22">
        <v>1903.17197</v>
      </c>
      <c r="BH478" s="22"/>
      <c r="BI478" s="22"/>
      <c r="BJ478" s="22">
        <v>326.84953</v>
      </c>
      <c r="BK478" s="22"/>
      <c r="BL478" s="22"/>
      <c r="BM478" s="22"/>
      <c r="BN478" s="22"/>
      <c r="BO478" s="4"/>
      <c r="BP478" s="4"/>
      <c r="BQ478" s="4"/>
      <c r="BR478" s="4"/>
      <c r="BS478" s="4"/>
      <c r="BT478" s="22"/>
      <c r="BU478" s="24"/>
    </row>
    <row r="479" spans="1:73" ht="73.5" customHeight="1" outlineLevel="2">
      <c r="A479" s="46" t="s">
        <v>407</v>
      </c>
      <c r="B479" s="45" t="s">
        <v>553</v>
      </c>
      <c r="C479" s="39">
        <f t="shared" si="81"/>
        <v>48118.06912</v>
      </c>
      <c r="D479" s="1">
        <f t="shared" si="79"/>
        <v>19851.25665</v>
      </c>
      <c r="E479" s="1">
        <f t="shared" si="80"/>
        <v>28266.812469999997</v>
      </c>
      <c r="F479" s="22"/>
      <c r="G479" s="22"/>
      <c r="H479" s="22"/>
      <c r="I479" s="22"/>
      <c r="J479" s="22"/>
      <c r="K479" s="22"/>
      <c r="L479" s="22">
        <v>4611.85783</v>
      </c>
      <c r="M479" s="22"/>
      <c r="N479" s="4"/>
      <c r="O479" s="4"/>
      <c r="P479" s="4"/>
      <c r="Q479" s="4"/>
      <c r="R479" s="4">
        <v>2252.13727</v>
      </c>
      <c r="S479" s="4"/>
      <c r="T479" s="4"/>
      <c r="U479" s="4"/>
      <c r="V479" s="4"/>
      <c r="W479" s="4"/>
      <c r="X479" s="4"/>
      <c r="Y479" s="4"/>
      <c r="Z479" s="22">
        <v>204.48694</v>
      </c>
      <c r="AA479" s="22">
        <v>262.0323</v>
      </c>
      <c r="AB479" s="23">
        <v>1123.04874</v>
      </c>
      <c r="AC479" s="4">
        <v>489.95795</v>
      </c>
      <c r="AD479" s="22"/>
      <c r="AE479" s="22"/>
      <c r="AF479" s="22"/>
      <c r="AG479" s="22"/>
      <c r="AH479" s="20">
        <f>494.55+652.79835+67.4478+623.2884</f>
        <v>1838.08455</v>
      </c>
      <c r="AI479" s="4">
        <v>623.2884</v>
      </c>
      <c r="AJ479" s="22">
        <v>1214.79615</v>
      </c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4">
        <v>11107.10169</v>
      </c>
      <c r="AZ479" s="4">
        <v>7426.92444</v>
      </c>
      <c r="BA479" s="4"/>
      <c r="BB479" s="4"/>
      <c r="BC479" s="22"/>
      <c r="BD479" s="22"/>
      <c r="BE479" s="22">
        <v>10412.59242</v>
      </c>
      <c r="BF479" s="22">
        <v>5164.48201</v>
      </c>
      <c r="BG479" s="22">
        <v>3225.36298</v>
      </c>
      <c r="BH479" s="22"/>
      <c r="BI479" s="22"/>
      <c r="BJ479" s="22"/>
      <c r="BK479" s="22"/>
      <c r="BL479" s="22"/>
      <c r="BM479" s="22"/>
      <c r="BN479" s="22"/>
      <c r="BO479" s="4"/>
      <c r="BP479" s="4"/>
      <c r="BQ479" s="4"/>
      <c r="BR479" s="4"/>
      <c r="BS479" s="4"/>
      <c r="BT479" s="22"/>
      <c r="BU479" s="24"/>
    </row>
    <row r="480" spans="1:73" ht="73.5" customHeight="1" outlineLevel="2">
      <c r="A480" s="46" t="s">
        <v>407</v>
      </c>
      <c r="B480" s="45" t="s">
        <v>536</v>
      </c>
      <c r="C480" s="39">
        <f t="shared" si="81"/>
        <v>35.686080000000004</v>
      </c>
      <c r="D480" s="1">
        <f t="shared" si="79"/>
        <v>27.99407</v>
      </c>
      <c r="E480" s="1">
        <f t="shared" si="80"/>
        <v>7.69201</v>
      </c>
      <c r="F480" s="22"/>
      <c r="G480" s="22"/>
      <c r="H480" s="22"/>
      <c r="I480" s="22"/>
      <c r="J480" s="22"/>
      <c r="K480" s="22"/>
      <c r="L480" s="22"/>
      <c r="M480" s="22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22"/>
      <c r="AA480" s="22"/>
      <c r="AB480" s="23">
        <v>27.99407</v>
      </c>
      <c r="AC480" s="4">
        <v>7.69201</v>
      </c>
      <c r="AD480" s="22"/>
      <c r="AE480" s="22"/>
      <c r="AF480" s="22"/>
      <c r="AG480" s="22"/>
      <c r="AH480" s="20"/>
      <c r="AI480" s="4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4"/>
      <c r="AZ480" s="4"/>
      <c r="BA480" s="4"/>
      <c r="BB480" s="4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4"/>
      <c r="BP480" s="4"/>
      <c r="BQ480" s="4"/>
      <c r="BR480" s="4"/>
      <c r="BS480" s="4"/>
      <c r="BT480" s="22"/>
      <c r="BU480" s="24"/>
    </row>
    <row r="481" spans="1:73" ht="73.5" customHeight="1" outlineLevel="2">
      <c r="A481" s="46" t="s">
        <v>407</v>
      </c>
      <c r="B481" s="45" t="s">
        <v>152</v>
      </c>
      <c r="C481" s="39">
        <f t="shared" si="81"/>
        <v>1080.9247500000001</v>
      </c>
      <c r="D481" s="1">
        <f t="shared" si="79"/>
        <v>810.92475</v>
      </c>
      <c r="E481" s="1">
        <f t="shared" si="80"/>
        <v>270</v>
      </c>
      <c r="F481" s="22"/>
      <c r="G481" s="22"/>
      <c r="H481" s="22"/>
      <c r="I481" s="22"/>
      <c r="J481" s="22"/>
      <c r="K481" s="22"/>
      <c r="L481" s="22"/>
      <c r="M481" s="22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22"/>
      <c r="AA481" s="22"/>
      <c r="AB481" s="4"/>
      <c r="AC481" s="4"/>
      <c r="AD481" s="22"/>
      <c r="AE481" s="22"/>
      <c r="AF481" s="22"/>
      <c r="AG481" s="22"/>
      <c r="AH481" s="20"/>
      <c r="AI481" s="4"/>
      <c r="AJ481" s="22"/>
      <c r="AK481" s="22"/>
      <c r="AL481" s="22"/>
      <c r="AM481" s="22"/>
      <c r="AN481" s="22"/>
      <c r="AO481" s="22">
        <v>810.92475</v>
      </c>
      <c r="AP481" s="22">
        <v>270</v>
      </c>
      <c r="AQ481" s="22"/>
      <c r="AR481" s="22"/>
      <c r="AS481" s="22"/>
      <c r="AT481" s="22"/>
      <c r="AU481" s="22"/>
      <c r="AV481" s="22"/>
      <c r="AW481" s="22"/>
      <c r="AX481" s="22"/>
      <c r="AY481" s="22"/>
      <c r="AZ481" s="4"/>
      <c r="BA481" s="4"/>
      <c r="BB481" s="4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4"/>
      <c r="BP481" s="4"/>
      <c r="BQ481" s="4"/>
      <c r="BR481" s="4"/>
      <c r="BS481" s="4"/>
      <c r="BT481" s="22"/>
      <c r="BU481" s="24"/>
    </row>
    <row r="482" spans="1:73" ht="73.5" customHeight="1" outlineLevel="2">
      <c r="A482" s="46" t="s">
        <v>407</v>
      </c>
      <c r="B482" s="45" t="s">
        <v>164</v>
      </c>
      <c r="C482" s="39">
        <f t="shared" si="81"/>
        <v>5377.879029999999</v>
      </c>
      <c r="D482" s="1">
        <f t="shared" si="79"/>
        <v>3090.9506999999994</v>
      </c>
      <c r="E482" s="1">
        <f t="shared" si="80"/>
        <v>2286.9283299999997</v>
      </c>
      <c r="F482" s="22"/>
      <c r="G482" s="22"/>
      <c r="H482" s="22"/>
      <c r="I482" s="22"/>
      <c r="J482" s="22">
        <v>126.24105</v>
      </c>
      <c r="K482" s="22">
        <v>41.74171</v>
      </c>
      <c r="L482" s="22"/>
      <c r="M482" s="22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22"/>
      <c r="AA482" s="22">
        <v>59.697</v>
      </c>
      <c r="AB482" s="23">
        <v>413.00982</v>
      </c>
      <c r="AC482" s="4">
        <v>138.68933</v>
      </c>
      <c r="AD482" s="22"/>
      <c r="AE482" s="22"/>
      <c r="AF482" s="22"/>
      <c r="AG482" s="22"/>
      <c r="AH482" s="20">
        <f>137.30445+198.6422</f>
        <v>335.94665</v>
      </c>
      <c r="AI482" s="4">
        <v>198.6422</v>
      </c>
      <c r="AJ482" s="22">
        <v>137.30445</v>
      </c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>
        <v>1350.37054</v>
      </c>
      <c r="AZ482" s="4">
        <v>723.8777</v>
      </c>
      <c r="BA482" s="4"/>
      <c r="BB482" s="4"/>
      <c r="BC482" s="22"/>
      <c r="BD482" s="22">
        <v>235.7642</v>
      </c>
      <c r="BE482" s="22"/>
      <c r="BF482" s="22">
        <v>1201.32929</v>
      </c>
      <c r="BG482" s="22">
        <v>751.21174</v>
      </c>
      <c r="BH482" s="22"/>
      <c r="BI482" s="22"/>
      <c r="BJ482" s="22"/>
      <c r="BK482" s="22"/>
      <c r="BL482" s="22"/>
      <c r="BM482" s="22"/>
      <c r="BN482" s="22"/>
      <c r="BO482" s="4"/>
      <c r="BP482" s="4"/>
      <c r="BQ482" s="4"/>
      <c r="BR482" s="4"/>
      <c r="BS482" s="4"/>
      <c r="BT482" s="22"/>
      <c r="BU482" s="24"/>
    </row>
    <row r="483" spans="1:73" ht="73.5" customHeight="1" outlineLevel="2">
      <c r="A483" s="46" t="s">
        <v>407</v>
      </c>
      <c r="B483" s="45" t="s">
        <v>590</v>
      </c>
      <c r="C483" s="39">
        <f t="shared" si="81"/>
        <v>653.6822</v>
      </c>
      <c r="D483" s="1">
        <f t="shared" si="79"/>
        <v>0</v>
      </c>
      <c r="E483" s="1">
        <f t="shared" si="80"/>
        <v>653.6822</v>
      </c>
      <c r="F483" s="22"/>
      <c r="G483" s="22"/>
      <c r="H483" s="22"/>
      <c r="I483" s="22"/>
      <c r="J483" s="22"/>
      <c r="K483" s="22"/>
      <c r="L483" s="22"/>
      <c r="M483" s="22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22"/>
      <c r="AA483" s="22"/>
      <c r="AB483" s="23"/>
      <c r="AC483" s="4"/>
      <c r="AD483" s="22"/>
      <c r="AE483" s="22"/>
      <c r="AF483" s="22"/>
      <c r="AG483" s="22"/>
      <c r="AH483" s="20"/>
      <c r="AI483" s="4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4"/>
      <c r="BA483" s="4"/>
      <c r="BB483" s="4"/>
      <c r="BC483" s="22"/>
      <c r="BD483" s="22"/>
      <c r="BE483" s="22">
        <v>653.6822</v>
      </c>
      <c r="BF483" s="22"/>
      <c r="BG483" s="22"/>
      <c r="BH483" s="22"/>
      <c r="BI483" s="22"/>
      <c r="BJ483" s="22"/>
      <c r="BK483" s="22"/>
      <c r="BL483" s="22"/>
      <c r="BM483" s="22"/>
      <c r="BN483" s="22"/>
      <c r="BO483" s="4"/>
      <c r="BP483" s="4"/>
      <c r="BQ483" s="4"/>
      <c r="BR483" s="4"/>
      <c r="BS483" s="4"/>
      <c r="BT483" s="22"/>
      <c r="BU483" s="24"/>
    </row>
    <row r="484" spans="1:73" ht="73.5" customHeight="1" outlineLevel="2">
      <c r="A484" s="44" t="s">
        <v>407</v>
      </c>
      <c r="B484" s="45" t="s">
        <v>91</v>
      </c>
      <c r="C484" s="39">
        <f t="shared" si="81"/>
        <v>312.44534999999996</v>
      </c>
      <c r="D484" s="1">
        <f t="shared" si="79"/>
        <v>137.09099</v>
      </c>
      <c r="E484" s="1">
        <f t="shared" si="80"/>
        <v>175.35435999999999</v>
      </c>
      <c r="F484" s="22"/>
      <c r="G484" s="22"/>
      <c r="H484" s="22"/>
      <c r="I484" s="22"/>
      <c r="J484" s="22"/>
      <c r="K484" s="22"/>
      <c r="L484" s="22"/>
      <c r="M484" s="22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22">
        <v>3.47516</v>
      </c>
      <c r="AA484" s="22">
        <v>4.779</v>
      </c>
      <c r="AB484" s="4">
        <v>32.08605</v>
      </c>
      <c r="AC484" s="4">
        <v>16.31639</v>
      </c>
      <c r="AD484" s="22"/>
      <c r="AE484" s="22"/>
      <c r="AF484" s="22"/>
      <c r="AG484" s="22"/>
      <c r="AH484" s="20">
        <v>24.0885</v>
      </c>
      <c r="AI484" s="4"/>
      <c r="AJ484" s="20">
        <v>24.0885</v>
      </c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4"/>
      <c r="BA484" s="4"/>
      <c r="BB484" s="4"/>
      <c r="BC484" s="22"/>
      <c r="BD484" s="22">
        <v>66.75165</v>
      </c>
      <c r="BE484" s="22"/>
      <c r="BF484" s="22">
        <v>101.52978</v>
      </c>
      <c r="BG484" s="22">
        <f>29.23432+34.1845</f>
        <v>63.41882</v>
      </c>
      <c r="BH484" s="22"/>
      <c r="BI484" s="22"/>
      <c r="BJ484" s="22"/>
      <c r="BK484" s="22"/>
      <c r="BL484" s="22"/>
      <c r="BM484" s="22"/>
      <c r="BN484" s="22"/>
      <c r="BO484" s="4"/>
      <c r="BP484" s="4"/>
      <c r="BQ484" s="4"/>
      <c r="BR484" s="4"/>
      <c r="BS484" s="4"/>
      <c r="BT484" s="22"/>
      <c r="BU484" s="24"/>
    </row>
    <row r="485" spans="1:73" ht="73.5" customHeight="1" outlineLevel="2">
      <c r="A485" s="44" t="s">
        <v>407</v>
      </c>
      <c r="B485" s="45" t="s">
        <v>539</v>
      </c>
      <c r="C485" s="39">
        <f t="shared" si="81"/>
        <v>74.1807</v>
      </c>
      <c r="D485" s="1">
        <f t="shared" si="79"/>
        <v>52.36989</v>
      </c>
      <c r="E485" s="1">
        <f t="shared" si="80"/>
        <v>21.81081</v>
      </c>
      <c r="F485" s="22"/>
      <c r="G485" s="22"/>
      <c r="H485" s="22"/>
      <c r="I485" s="22"/>
      <c r="J485" s="22"/>
      <c r="K485" s="22"/>
      <c r="L485" s="22"/>
      <c r="M485" s="22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22"/>
      <c r="AA485" s="22"/>
      <c r="AB485" s="4">
        <v>33.55518</v>
      </c>
      <c r="AC485" s="4">
        <v>10.02293</v>
      </c>
      <c r="AD485" s="22"/>
      <c r="AE485" s="22"/>
      <c r="AF485" s="22"/>
      <c r="AG485" s="22"/>
      <c r="AH485" s="20"/>
      <c r="AI485" s="4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4"/>
      <c r="BA485" s="4"/>
      <c r="BB485" s="4"/>
      <c r="BC485" s="22"/>
      <c r="BD485" s="22"/>
      <c r="BE485" s="22"/>
      <c r="BF485" s="22">
        <v>18.81471</v>
      </c>
      <c r="BG485" s="22">
        <v>11.78788</v>
      </c>
      <c r="BH485" s="22"/>
      <c r="BI485" s="22"/>
      <c r="BJ485" s="22"/>
      <c r="BK485" s="22"/>
      <c r="BL485" s="22"/>
      <c r="BM485" s="22"/>
      <c r="BN485" s="22"/>
      <c r="BO485" s="4"/>
      <c r="BP485" s="4"/>
      <c r="BQ485" s="4"/>
      <c r="BR485" s="4"/>
      <c r="BS485" s="4"/>
      <c r="BT485" s="22"/>
      <c r="BU485" s="24"/>
    </row>
    <row r="486" spans="1:73" ht="73.5" customHeight="1" outlineLevel="2">
      <c r="A486" s="46" t="s">
        <v>407</v>
      </c>
      <c r="B486" s="45" t="s">
        <v>538</v>
      </c>
      <c r="C486" s="39">
        <f t="shared" si="81"/>
        <v>190.46751999999998</v>
      </c>
      <c r="D486" s="1">
        <f t="shared" si="79"/>
        <v>91.97249</v>
      </c>
      <c r="E486" s="1">
        <f t="shared" si="80"/>
        <v>98.49503</v>
      </c>
      <c r="F486" s="22"/>
      <c r="G486" s="22"/>
      <c r="H486" s="22"/>
      <c r="I486" s="22"/>
      <c r="J486" s="22"/>
      <c r="K486" s="22"/>
      <c r="L486" s="22"/>
      <c r="M486" s="2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22"/>
      <c r="AA486" s="22"/>
      <c r="AB486" s="4">
        <v>43.18732</v>
      </c>
      <c r="AC486" s="4">
        <v>14.45166</v>
      </c>
      <c r="AD486" s="22"/>
      <c r="AE486" s="22"/>
      <c r="AF486" s="22"/>
      <c r="AG486" s="22"/>
      <c r="AH486" s="20"/>
      <c r="AI486" s="4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4"/>
      <c r="BA486" s="4"/>
      <c r="BB486" s="4"/>
      <c r="BC486" s="22"/>
      <c r="BD486" s="22">
        <v>53.58675</v>
      </c>
      <c r="BE486" s="22"/>
      <c r="BF486" s="22">
        <v>48.78517</v>
      </c>
      <c r="BG486" s="22">
        <v>30.45662</v>
      </c>
      <c r="BH486" s="22"/>
      <c r="BI486" s="22"/>
      <c r="BJ486" s="22"/>
      <c r="BK486" s="22"/>
      <c r="BL486" s="22"/>
      <c r="BM486" s="22"/>
      <c r="BN486" s="22"/>
      <c r="BO486" s="4"/>
      <c r="BP486" s="4"/>
      <c r="BQ486" s="4"/>
      <c r="BR486" s="4"/>
      <c r="BS486" s="4"/>
      <c r="BT486" s="22"/>
      <c r="BU486" s="24"/>
    </row>
    <row r="487" spans="1:73" ht="73.5" customHeight="1" outlineLevel="2">
      <c r="A487" s="46" t="s">
        <v>407</v>
      </c>
      <c r="B487" s="45" t="s">
        <v>448</v>
      </c>
      <c r="C487" s="39">
        <f t="shared" si="81"/>
        <v>307.13843</v>
      </c>
      <c r="D487" s="1">
        <f t="shared" si="79"/>
        <v>168.03910000000002</v>
      </c>
      <c r="E487" s="1">
        <f t="shared" si="80"/>
        <v>139.09933</v>
      </c>
      <c r="F487" s="22"/>
      <c r="G487" s="22"/>
      <c r="H487" s="22"/>
      <c r="I487" s="22"/>
      <c r="J487" s="22"/>
      <c r="K487" s="22"/>
      <c r="L487" s="22"/>
      <c r="M487" s="22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22"/>
      <c r="AA487" s="22"/>
      <c r="AB487" s="23">
        <v>87.95581</v>
      </c>
      <c r="AC487" s="4">
        <v>31.93351</v>
      </c>
      <c r="AD487" s="22"/>
      <c r="AE487" s="22"/>
      <c r="AF487" s="22"/>
      <c r="AG487" s="22"/>
      <c r="AH487" s="20"/>
      <c r="AI487" s="4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4"/>
      <c r="BA487" s="4"/>
      <c r="BB487" s="4"/>
      <c r="BC487" s="22"/>
      <c r="BD487" s="22">
        <v>57.02095</v>
      </c>
      <c r="BE487" s="22"/>
      <c r="BF487" s="22">
        <v>80.08329</v>
      </c>
      <c r="BG487" s="22">
        <v>50.14487</v>
      </c>
      <c r="BH487" s="22"/>
      <c r="BI487" s="22"/>
      <c r="BJ487" s="22"/>
      <c r="BK487" s="22"/>
      <c r="BL487" s="22"/>
      <c r="BM487" s="22"/>
      <c r="BN487" s="22"/>
      <c r="BO487" s="4"/>
      <c r="BP487" s="4"/>
      <c r="BQ487" s="4"/>
      <c r="BR487" s="4"/>
      <c r="BS487" s="4"/>
      <c r="BT487" s="22"/>
      <c r="BU487" s="24"/>
    </row>
    <row r="488" spans="1:73" ht="73.5" customHeight="1" outlineLevel="2">
      <c r="A488" s="46" t="s">
        <v>407</v>
      </c>
      <c r="B488" s="45" t="s">
        <v>896</v>
      </c>
      <c r="C488" s="39">
        <f t="shared" si="81"/>
        <v>222.43282</v>
      </c>
      <c r="D488" s="1">
        <f t="shared" si="79"/>
        <v>134.7502</v>
      </c>
      <c r="E488" s="1">
        <f t="shared" si="80"/>
        <v>87.68262</v>
      </c>
      <c r="F488" s="22"/>
      <c r="G488" s="22"/>
      <c r="H488" s="22"/>
      <c r="I488" s="22"/>
      <c r="J488" s="22"/>
      <c r="K488" s="22"/>
      <c r="L488" s="22"/>
      <c r="M488" s="22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22"/>
      <c r="AA488" s="22"/>
      <c r="AB488" s="23">
        <v>61.68295</v>
      </c>
      <c r="AC488" s="4">
        <v>25.17386</v>
      </c>
      <c r="AD488" s="22"/>
      <c r="AE488" s="22"/>
      <c r="AF488" s="22"/>
      <c r="AG488" s="22"/>
      <c r="AH488" s="20">
        <v>16.86195</v>
      </c>
      <c r="AI488" s="4"/>
      <c r="AJ488" s="20">
        <v>16.86195</v>
      </c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4"/>
      <c r="BA488" s="4"/>
      <c r="BB488" s="4"/>
      <c r="BC488" s="22"/>
      <c r="BD488" s="22"/>
      <c r="BE488" s="22"/>
      <c r="BF488" s="22">
        <v>73.06725</v>
      </c>
      <c r="BG488" s="22">
        <v>45.64681</v>
      </c>
      <c r="BH488" s="22"/>
      <c r="BI488" s="22"/>
      <c r="BJ488" s="22"/>
      <c r="BK488" s="22"/>
      <c r="BL488" s="22"/>
      <c r="BM488" s="22"/>
      <c r="BN488" s="22"/>
      <c r="BO488" s="4"/>
      <c r="BP488" s="4"/>
      <c r="BQ488" s="4"/>
      <c r="BR488" s="4"/>
      <c r="BS488" s="4"/>
      <c r="BT488" s="22"/>
      <c r="BU488" s="24"/>
    </row>
    <row r="489" spans="1:73" ht="73.5" customHeight="1" outlineLevel="2">
      <c r="A489" s="26" t="s">
        <v>407</v>
      </c>
      <c r="B489" s="45" t="s">
        <v>897</v>
      </c>
      <c r="C489" s="39">
        <f t="shared" si="81"/>
        <v>91.71271</v>
      </c>
      <c r="D489" s="1">
        <f t="shared" si="79"/>
        <v>56.43208</v>
      </c>
      <c r="E489" s="1">
        <f t="shared" si="80"/>
        <v>35.28063</v>
      </c>
      <c r="F489" s="22"/>
      <c r="G489" s="22"/>
      <c r="H489" s="22"/>
      <c r="I489" s="22"/>
      <c r="J489" s="22"/>
      <c r="K489" s="22"/>
      <c r="L489" s="22"/>
      <c r="M489" s="22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22"/>
      <c r="AA489" s="22"/>
      <c r="AB489" s="23"/>
      <c r="AC489" s="4"/>
      <c r="AD489" s="22"/>
      <c r="AE489" s="22"/>
      <c r="AF489" s="22"/>
      <c r="AG489" s="22"/>
      <c r="AH489" s="20"/>
      <c r="AI489" s="4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4"/>
      <c r="BA489" s="4"/>
      <c r="BB489" s="4"/>
      <c r="BC489" s="22"/>
      <c r="BD489" s="22"/>
      <c r="BE489" s="22"/>
      <c r="BF489" s="22">
        <v>56.43208</v>
      </c>
      <c r="BG489" s="22">
        <v>35.28063</v>
      </c>
      <c r="BH489" s="22"/>
      <c r="BI489" s="22"/>
      <c r="BJ489" s="22"/>
      <c r="BK489" s="22"/>
      <c r="BL489" s="22"/>
      <c r="BM489" s="22"/>
      <c r="BN489" s="22"/>
      <c r="BO489" s="4"/>
      <c r="BP489" s="4"/>
      <c r="BQ489" s="4"/>
      <c r="BR489" s="4"/>
      <c r="BS489" s="4"/>
      <c r="BT489" s="22"/>
      <c r="BU489" s="24"/>
    </row>
    <row r="490" spans="1:73" ht="73.5" customHeight="1" outlineLevel="2">
      <c r="A490" s="46" t="s">
        <v>407</v>
      </c>
      <c r="B490" s="45" t="s">
        <v>898</v>
      </c>
      <c r="C490" s="39">
        <f t="shared" si="81"/>
        <v>86.1711</v>
      </c>
      <c r="D490" s="1">
        <f t="shared" si="79"/>
        <v>52.7147</v>
      </c>
      <c r="E490" s="1">
        <f t="shared" si="80"/>
        <v>33.4564</v>
      </c>
      <c r="F490" s="22"/>
      <c r="G490" s="22"/>
      <c r="H490" s="22"/>
      <c r="I490" s="22"/>
      <c r="J490" s="22"/>
      <c r="K490" s="22"/>
      <c r="L490" s="22"/>
      <c r="M490" s="22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22"/>
      <c r="AA490" s="22"/>
      <c r="AB490" s="23">
        <v>23.55307</v>
      </c>
      <c r="AC490" s="4">
        <v>10.48911</v>
      </c>
      <c r="AD490" s="22"/>
      <c r="AE490" s="22"/>
      <c r="AF490" s="22"/>
      <c r="AG490" s="22"/>
      <c r="AH490" s="20">
        <v>4.8177</v>
      </c>
      <c r="AI490" s="4"/>
      <c r="AJ490" s="20">
        <v>4.8177</v>
      </c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4"/>
      <c r="BA490" s="4"/>
      <c r="BB490" s="4"/>
      <c r="BC490" s="22"/>
      <c r="BD490" s="22"/>
      <c r="BE490" s="22"/>
      <c r="BF490" s="22">
        <v>29.16163</v>
      </c>
      <c r="BG490" s="22">
        <v>18.14959</v>
      </c>
      <c r="BH490" s="22"/>
      <c r="BI490" s="22"/>
      <c r="BJ490" s="22"/>
      <c r="BK490" s="22"/>
      <c r="BL490" s="22"/>
      <c r="BM490" s="22"/>
      <c r="BN490" s="22"/>
      <c r="BO490" s="4"/>
      <c r="BP490" s="4"/>
      <c r="BQ490" s="4"/>
      <c r="BR490" s="4"/>
      <c r="BS490" s="4"/>
      <c r="BT490" s="22"/>
      <c r="BU490" s="24"/>
    </row>
    <row r="491" spans="1:73" ht="73.5" customHeight="1" outlineLevel="2">
      <c r="A491" s="46" t="s">
        <v>407</v>
      </c>
      <c r="B491" s="45" t="s">
        <v>473</v>
      </c>
      <c r="C491" s="39">
        <f t="shared" si="81"/>
        <v>275.47974999999997</v>
      </c>
      <c r="D491" s="1">
        <f t="shared" si="79"/>
        <v>172.06896</v>
      </c>
      <c r="E491" s="1">
        <f t="shared" si="80"/>
        <v>103.41078999999999</v>
      </c>
      <c r="F491" s="22"/>
      <c r="G491" s="22"/>
      <c r="H491" s="22"/>
      <c r="I491" s="22"/>
      <c r="J491" s="22"/>
      <c r="K491" s="22"/>
      <c r="L491" s="22"/>
      <c r="M491" s="22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22"/>
      <c r="AA491" s="22"/>
      <c r="AB491" s="23">
        <v>82.67211</v>
      </c>
      <c r="AC491" s="4">
        <v>25.87314</v>
      </c>
      <c r="AD491" s="22"/>
      <c r="AE491" s="22"/>
      <c r="AF491" s="22"/>
      <c r="AG491" s="22"/>
      <c r="AH491" s="20">
        <v>21.67965</v>
      </c>
      <c r="AI491" s="4"/>
      <c r="AJ491" s="22">
        <v>21.67965</v>
      </c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4"/>
      <c r="BA491" s="4"/>
      <c r="BB491" s="4"/>
      <c r="BC491" s="22"/>
      <c r="BD491" s="22"/>
      <c r="BE491" s="22"/>
      <c r="BF491" s="22">
        <v>89.39685</v>
      </c>
      <c r="BG491" s="22">
        <v>55.858</v>
      </c>
      <c r="BH491" s="22"/>
      <c r="BI491" s="22"/>
      <c r="BJ491" s="22"/>
      <c r="BK491" s="22"/>
      <c r="BL491" s="22"/>
      <c r="BM491" s="22"/>
      <c r="BN491" s="22"/>
      <c r="BO491" s="4"/>
      <c r="BP491" s="4"/>
      <c r="BQ491" s="4"/>
      <c r="BR491" s="4"/>
      <c r="BS491" s="4"/>
      <c r="BT491" s="22"/>
      <c r="BU491" s="24"/>
    </row>
    <row r="492" spans="1:73" ht="73.5" customHeight="1" outlineLevel="2">
      <c r="A492" s="46" t="s">
        <v>407</v>
      </c>
      <c r="B492" s="45" t="s">
        <v>899</v>
      </c>
      <c r="C492" s="39">
        <f t="shared" si="81"/>
        <v>149.47937000000002</v>
      </c>
      <c r="D492" s="1">
        <f t="shared" si="79"/>
        <v>65.7842</v>
      </c>
      <c r="E492" s="1">
        <f t="shared" si="80"/>
        <v>83.69517</v>
      </c>
      <c r="F492" s="22"/>
      <c r="G492" s="22"/>
      <c r="H492" s="22"/>
      <c r="I492" s="22"/>
      <c r="J492" s="22"/>
      <c r="K492" s="22"/>
      <c r="L492" s="22"/>
      <c r="M492" s="22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22"/>
      <c r="AA492" s="22"/>
      <c r="AB492" s="23">
        <v>19.47046</v>
      </c>
      <c r="AC492" s="4">
        <v>11.07184</v>
      </c>
      <c r="AD492" s="22"/>
      <c r="AE492" s="22"/>
      <c r="AF492" s="22"/>
      <c r="AG492" s="22"/>
      <c r="AH492" s="20">
        <v>9.6354</v>
      </c>
      <c r="AI492" s="4"/>
      <c r="AJ492" s="22">
        <v>9.6354</v>
      </c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4"/>
      <c r="BA492" s="4"/>
      <c r="BB492" s="4"/>
      <c r="BC492" s="22"/>
      <c r="BD492" s="22">
        <v>34.0536</v>
      </c>
      <c r="BE492" s="22"/>
      <c r="BF492" s="22">
        <f>55.64824-9.3345</f>
        <v>46.31374</v>
      </c>
      <c r="BG492" s="22">
        <f>14.36059+20.43524-5.8615</f>
        <v>28.934330000000003</v>
      </c>
      <c r="BH492" s="22"/>
      <c r="BI492" s="22"/>
      <c r="BJ492" s="22"/>
      <c r="BK492" s="22"/>
      <c r="BL492" s="22"/>
      <c r="BM492" s="22"/>
      <c r="BN492" s="22"/>
      <c r="BO492" s="4"/>
      <c r="BP492" s="4"/>
      <c r="BQ492" s="4"/>
      <c r="BR492" s="4"/>
      <c r="BS492" s="4"/>
      <c r="BT492" s="22"/>
      <c r="BU492" s="24"/>
    </row>
    <row r="493" spans="1:73" ht="73.5" customHeight="1" outlineLevel="2">
      <c r="A493" s="46" t="s">
        <v>407</v>
      </c>
      <c r="B493" s="45" t="s">
        <v>900</v>
      </c>
      <c r="C493" s="39">
        <f t="shared" si="81"/>
        <v>195.40158000000002</v>
      </c>
      <c r="D493" s="1">
        <f t="shared" si="79"/>
        <v>119.88829000000001</v>
      </c>
      <c r="E493" s="1">
        <f t="shared" si="80"/>
        <v>75.51329</v>
      </c>
      <c r="F493" s="22"/>
      <c r="G493" s="22"/>
      <c r="H493" s="22"/>
      <c r="I493" s="22"/>
      <c r="J493" s="22"/>
      <c r="K493" s="22"/>
      <c r="L493" s="22"/>
      <c r="M493" s="22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22"/>
      <c r="AA493" s="22"/>
      <c r="AB493" s="23">
        <v>55.1201</v>
      </c>
      <c r="AC493" s="4">
        <v>23.07604</v>
      </c>
      <c r="AD493" s="22"/>
      <c r="AE493" s="22"/>
      <c r="AF493" s="22"/>
      <c r="AG493" s="22"/>
      <c r="AH493" s="20">
        <v>12.04425</v>
      </c>
      <c r="AI493" s="4"/>
      <c r="AJ493" s="20">
        <v>12.04425</v>
      </c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4"/>
      <c r="BA493" s="4"/>
      <c r="BB493" s="4"/>
      <c r="BC493" s="22"/>
      <c r="BD493" s="22"/>
      <c r="BE493" s="22"/>
      <c r="BF493" s="22">
        <v>64.76819</v>
      </c>
      <c r="BG493" s="22">
        <v>40.393</v>
      </c>
      <c r="BH493" s="22"/>
      <c r="BI493" s="22"/>
      <c r="BJ493" s="22"/>
      <c r="BK493" s="22"/>
      <c r="BL493" s="22"/>
      <c r="BM493" s="22"/>
      <c r="BN493" s="22"/>
      <c r="BO493" s="4"/>
      <c r="BP493" s="4"/>
      <c r="BQ493" s="4"/>
      <c r="BR493" s="4"/>
      <c r="BS493" s="4"/>
      <c r="BT493" s="22"/>
      <c r="BU493" s="24"/>
    </row>
    <row r="494" spans="1:73" ht="73.5" customHeight="1" outlineLevel="2">
      <c r="A494" s="44" t="s">
        <v>407</v>
      </c>
      <c r="B494" s="45" t="s">
        <v>901</v>
      </c>
      <c r="C494" s="39">
        <f t="shared" si="81"/>
        <v>139.40444000000002</v>
      </c>
      <c r="D494" s="1">
        <f t="shared" si="79"/>
        <v>87.63047</v>
      </c>
      <c r="E494" s="1">
        <f t="shared" si="80"/>
        <v>51.773970000000006</v>
      </c>
      <c r="F494" s="22"/>
      <c r="G494" s="22"/>
      <c r="H494" s="22"/>
      <c r="I494" s="22"/>
      <c r="J494" s="22"/>
      <c r="K494" s="22"/>
      <c r="L494" s="22"/>
      <c r="M494" s="22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22"/>
      <c r="AA494" s="22"/>
      <c r="AB494" s="23">
        <v>50.48401</v>
      </c>
      <c r="AC494" s="4">
        <v>18.8804</v>
      </c>
      <c r="AD494" s="22"/>
      <c r="AE494" s="22"/>
      <c r="AF494" s="22"/>
      <c r="AG494" s="22"/>
      <c r="AH494" s="20">
        <v>9.6354</v>
      </c>
      <c r="AI494" s="4"/>
      <c r="AJ494" s="20">
        <v>9.6354</v>
      </c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4"/>
      <c r="BA494" s="4"/>
      <c r="BB494" s="4"/>
      <c r="BC494" s="22"/>
      <c r="BD494" s="22"/>
      <c r="BE494" s="22"/>
      <c r="BF494" s="22">
        <v>37.14646</v>
      </c>
      <c r="BG494" s="22">
        <v>23.25817</v>
      </c>
      <c r="BH494" s="22"/>
      <c r="BI494" s="22"/>
      <c r="BJ494" s="22"/>
      <c r="BK494" s="22"/>
      <c r="BL494" s="22"/>
      <c r="BM494" s="22"/>
      <c r="BN494" s="22"/>
      <c r="BO494" s="4"/>
      <c r="BP494" s="4"/>
      <c r="BQ494" s="4"/>
      <c r="BR494" s="4"/>
      <c r="BS494" s="4"/>
      <c r="BT494" s="22"/>
      <c r="BU494" s="24"/>
    </row>
    <row r="495" spans="1:73" ht="73.5" customHeight="1" outlineLevel="2">
      <c r="A495" s="44" t="s">
        <v>407</v>
      </c>
      <c r="B495" s="45" t="s">
        <v>902</v>
      </c>
      <c r="C495" s="39">
        <f t="shared" si="81"/>
        <v>380.8715</v>
      </c>
      <c r="D495" s="1">
        <f t="shared" si="79"/>
        <v>266.89215</v>
      </c>
      <c r="E495" s="1">
        <f t="shared" si="80"/>
        <v>113.97935</v>
      </c>
      <c r="F495" s="22"/>
      <c r="G495" s="22"/>
      <c r="H495" s="22"/>
      <c r="I495" s="22"/>
      <c r="J495" s="22"/>
      <c r="K495" s="22"/>
      <c r="L495" s="22"/>
      <c r="M495" s="22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22"/>
      <c r="AA495" s="22"/>
      <c r="AB495" s="23">
        <v>207.99182</v>
      </c>
      <c r="AC495" s="4">
        <v>77.15323</v>
      </c>
      <c r="AD495" s="22"/>
      <c r="AE495" s="22"/>
      <c r="AF495" s="22"/>
      <c r="AG495" s="22"/>
      <c r="AH495" s="20"/>
      <c r="AI495" s="4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4"/>
      <c r="BA495" s="4"/>
      <c r="BB495" s="4"/>
      <c r="BC495" s="22"/>
      <c r="BD495" s="22"/>
      <c r="BE495" s="22"/>
      <c r="BF495" s="22">
        <v>58.90033</v>
      </c>
      <c r="BG495" s="22">
        <v>36.82612</v>
      </c>
      <c r="BH495" s="22"/>
      <c r="BI495" s="22"/>
      <c r="BJ495" s="22"/>
      <c r="BK495" s="22"/>
      <c r="BL495" s="22"/>
      <c r="BM495" s="22"/>
      <c r="BN495" s="22"/>
      <c r="BO495" s="4"/>
      <c r="BP495" s="4"/>
      <c r="BQ495" s="4"/>
      <c r="BR495" s="4"/>
      <c r="BS495" s="4"/>
      <c r="BT495" s="22"/>
      <c r="BU495" s="24"/>
    </row>
    <row r="496" spans="1:73" ht="73.5" customHeight="1" outlineLevel="2">
      <c r="A496" s="44" t="s">
        <v>407</v>
      </c>
      <c r="B496" s="45" t="s">
        <v>903</v>
      </c>
      <c r="C496" s="39">
        <f t="shared" si="81"/>
        <v>1046.74518</v>
      </c>
      <c r="D496" s="1">
        <f t="shared" si="79"/>
        <v>607.32552</v>
      </c>
      <c r="E496" s="1">
        <f t="shared" si="80"/>
        <v>439.41966</v>
      </c>
      <c r="F496" s="22"/>
      <c r="G496" s="22"/>
      <c r="H496" s="22"/>
      <c r="I496" s="22"/>
      <c r="J496" s="22"/>
      <c r="K496" s="22"/>
      <c r="L496" s="22"/>
      <c r="M496" s="22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22">
        <v>26.06368</v>
      </c>
      <c r="AA496" s="22">
        <v>35.8425</v>
      </c>
      <c r="AB496" s="23">
        <v>335.96093</v>
      </c>
      <c r="AC496" s="4">
        <v>128.20023</v>
      </c>
      <c r="AD496" s="22"/>
      <c r="AE496" s="22"/>
      <c r="AF496" s="22"/>
      <c r="AG496" s="22"/>
      <c r="AH496" s="20">
        <f>60.22125+61.8332</f>
        <v>122.05445</v>
      </c>
      <c r="AI496" s="4">
        <v>61.8332</v>
      </c>
      <c r="AJ496" s="22">
        <v>60.22125</v>
      </c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4"/>
      <c r="BA496" s="4"/>
      <c r="BB496" s="4"/>
      <c r="BC496" s="22"/>
      <c r="BD496" s="22"/>
      <c r="BE496" s="22"/>
      <c r="BF496" s="22">
        <v>245.30091</v>
      </c>
      <c r="BG496" s="22">
        <v>153.32248</v>
      </c>
      <c r="BH496" s="22"/>
      <c r="BI496" s="22"/>
      <c r="BJ496" s="22"/>
      <c r="BK496" s="22"/>
      <c r="BL496" s="22"/>
      <c r="BM496" s="22"/>
      <c r="BN496" s="22"/>
      <c r="BO496" s="4"/>
      <c r="BP496" s="4"/>
      <c r="BQ496" s="4"/>
      <c r="BR496" s="4"/>
      <c r="BS496" s="4"/>
      <c r="BT496" s="22"/>
      <c r="BU496" s="24"/>
    </row>
    <row r="497" spans="1:73" ht="73.5" customHeight="1" outlineLevel="2">
      <c r="A497" s="44" t="s">
        <v>407</v>
      </c>
      <c r="B497" s="45" t="s">
        <v>277</v>
      </c>
      <c r="C497" s="39">
        <f t="shared" si="81"/>
        <v>72.26523</v>
      </c>
      <c r="D497" s="1">
        <f t="shared" si="79"/>
        <v>49.924260000000004</v>
      </c>
      <c r="E497" s="1">
        <f t="shared" si="80"/>
        <v>22.34097</v>
      </c>
      <c r="F497" s="22"/>
      <c r="G497" s="22"/>
      <c r="H497" s="22"/>
      <c r="I497" s="22"/>
      <c r="J497" s="22"/>
      <c r="K497" s="22"/>
      <c r="L497" s="22"/>
      <c r="M497" s="22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22"/>
      <c r="AA497" s="22"/>
      <c r="AB497" s="23">
        <v>29.46807</v>
      </c>
      <c r="AC497" s="4">
        <v>9.55674</v>
      </c>
      <c r="AD497" s="22"/>
      <c r="AE497" s="22"/>
      <c r="AF497" s="22"/>
      <c r="AG497" s="22"/>
      <c r="AH497" s="20"/>
      <c r="AI497" s="4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4"/>
      <c r="BA497" s="4"/>
      <c r="BB497" s="4"/>
      <c r="BC497" s="22"/>
      <c r="BD497" s="22"/>
      <c r="BE497" s="22"/>
      <c r="BF497" s="22">
        <v>20.45619</v>
      </c>
      <c r="BG497" s="22">
        <v>12.78423</v>
      </c>
      <c r="BH497" s="22"/>
      <c r="BI497" s="22"/>
      <c r="BJ497" s="22"/>
      <c r="BK497" s="22"/>
      <c r="BL497" s="22"/>
      <c r="BM497" s="22"/>
      <c r="BN497" s="22"/>
      <c r="BO497" s="4"/>
      <c r="BP497" s="4"/>
      <c r="BQ497" s="4"/>
      <c r="BR497" s="4"/>
      <c r="BS497" s="4"/>
      <c r="BT497" s="22"/>
      <c r="BU497" s="24"/>
    </row>
    <row r="498" spans="1:73" ht="73.5" customHeight="1" outlineLevel="2">
      <c r="A498" s="44" t="s">
        <v>407</v>
      </c>
      <c r="B498" s="45" t="s">
        <v>904</v>
      </c>
      <c r="C498" s="39">
        <f t="shared" si="81"/>
        <v>157.09111000000001</v>
      </c>
      <c r="D498" s="1">
        <f t="shared" si="79"/>
        <v>69.98078</v>
      </c>
      <c r="E498" s="1">
        <f t="shared" si="80"/>
        <v>87.11033</v>
      </c>
      <c r="F498" s="22"/>
      <c r="G498" s="22"/>
      <c r="H498" s="22"/>
      <c r="I498" s="22"/>
      <c r="J498" s="22"/>
      <c r="K498" s="22"/>
      <c r="L498" s="22"/>
      <c r="M498" s="22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22"/>
      <c r="AA498" s="22"/>
      <c r="AB498" s="23">
        <v>31.00174</v>
      </c>
      <c r="AC498" s="4">
        <v>13.05311</v>
      </c>
      <c r="AD498" s="22"/>
      <c r="AE498" s="22"/>
      <c r="AF498" s="22"/>
      <c r="AG498" s="22"/>
      <c r="AH498" s="20">
        <v>9.6354</v>
      </c>
      <c r="AI498" s="4"/>
      <c r="AJ498" s="20">
        <v>9.6354</v>
      </c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4"/>
      <c r="BA498" s="4"/>
      <c r="BB498" s="4"/>
      <c r="BC498" s="22"/>
      <c r="BD498" s="22"/>
      <c r="BE498" s="22">
        <v>40.02833</v>
      </c>
      <c r="BF498" s="22">
        <v>38.97904</v>
      </c>
      <c r="BG498" s="22">
        <v>24.39349</v>
      </c>
      <c r="BH498" s="22"/>
      <c r="BI498" s="22"/>
      <c r="BJ498" s="22"/>
      <c r="BK498" s="22"/>
      <c r="BL498" s="22"/>
      <c r="BM498" s="22"/>
      <c r="BN498" s="22"/>
      <c r="BO498" s="4"/>
      <c r="BP498" s="4"/>
      <c r="BQ498" s="4"/>
      <c r="BR498" s="4"/>
      <c r="BS498" s="4"/>
      <c r="BT498" s="22"/>
      <c r="BU498" s="24"/>
    </row>
    <row r="499" spans="1:73" ht="73.5" customHeight="1" outlineLevel="2">
      <c r="A499" s="44" t="s">
        <v>407</v>
      </c>
      <c r="B499" s="45" t="s">
        <v>905</v>
      </c>
      <c r="C499" s="39">
        <f t="shared" si="81"/>
        <v>54.228790000000004</v>
      </c>
      <c r="D499" s="1">
        <f t="shared" si="79"/>
        <v>35.48429</v>
      </c>
      <c r="E499" s="1">
        <f t="shared" si="80"/>
        <v>18.7445</v>
      </c>
      <c r="F499" s="22"/>
      <c r="G499" s="22"/>
      <c r="H499" s="22"/>
      <c r="I499" s="22"/>
      <c r="J499" s="22"/>
      <c r="K499" s="22"/>
      <c r="L499" s="22"/>
      <c r="M499" s="22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22"/>
      <c r="AA499" s="22"/>
      <c r="AB499" s="23">
        <v>16.35112</v>
      </c>
      <c r="AC499" s="4">
        <v>6.75965</v>
      </c>
      <c r="AD499" s="22"/>
      <c r="AE499" s="22"/>
      <c r="AF499" s="22"/>
      <c r="AG499" s="22"/>
      <c r="AH499" s="20"/>
      <c r="AI499" s="4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4"/>
      <c r="BA499" s="4"/>
      <c r="BB499" s="4"/>
      <c r="BC499" s="22"/>
      <c r="BD499" s="22"/>
      <c r="BE499" s="22"/>
      <c r="BF499" s="22">
        <v>19.13317</v>
      </c>
      <c r="BG499" s="22">
        <v>11.98485</v>
      </c>
      <c r="BH499" s="22"/>
      <c r="BI499" s="22"/>
      <c r="BJ499" s="22"/>
      <c r="BK499" s="22"/>
      <c r="BL499" s="22"/>
      <c r="BM499" s="22"/>
      <c r="BN499" s="22"/>
      <c r="BO499" s="4"/>
      <c r="BP499" s="4"/>
      <c r="BQ499" s="4"/>
      <c r="BR499" s="4"/>
      <c r="BS499" s="4"/>
      <c r="BT499" s="22"/>
      <c r="BU499" s="24"/>
    </row>
    <row r="500" spans="1:73" ht="73.5" customHeight="1" outlineLevel="2">
      <c r="A500" s="44" t="s">
        <v>407</v>
      </c>
      <c r="B500" s="45" t="s">
        <v>280</v>
      </c>
      <c r="C500" s="39">
        <f t="shared" si="81"/>
        <v>120.54934</v>
      </c>
      <c r="D500" s="1">
        <f t="shared" si="79"/>
        <v>52.63878</v>
      </c>
      <c r="E500" s="1">
        <f t="shared" si="80"/>
        <v>67.91056</v>
      </c>
      <c r="F500" s="22"/>
      <c r="G500" s="22"/>
      <c r="H500" s="22"/>
      <c r="I500" s="22"/>
      <c r="J500" s="22"/>
      <c r="K500" s="22"/>
      <c r="L500" s="22"/>
      <c r="M500" s="22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22">
        <v>3.47516</v>
      </c>
      <c r="AA500" s="22">
        <v>4.779</v>
      </c>
      <c r="AB500" s="4">
        <v>17.72112</v>
      </c>
      <c r="AC500" s="4">
        <v>7.9251</v>
      </c>
      <c r="AD500" s="22"/>
      <c r="AE500" s="22"/>
      <c r="AF500" s="22"/>
      <c r="AG500" s="22"/>
      <c r="AH500" s="20">
        <v>7.22655</v>
      </c>
      <c r="AI500" s="4"/>
      <c r="AJ500" s="20">
        <v>7.22655</v>
      </c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4"/>
      <c r="BA500" s="4"/>
      <c r="BB500" s="4"/>
      <c r="BC500" s="22"/>
      <c r="BD500" s="22">
        <v>28.34405</v>
      </c>
      <c r="BE500" s="22"/>
      <c r="BF500" s="22">
        <v>31.4425</v>
      </c>
      <c r="BG500" s="22">
        <v>19.63586</v>
      </c>
      <c r="BH500" s="22"/>
      <c r="BI500" s="22"/>
      <c r="BJ500" s="22"/>
      <c r="BK500" s="22"/>
      <c r="BL500" s="22"/>
      <c r="BM500" s="22"/>
      <c r="BN500" s="22"/>
      <c r="BO500" s="4"/>
      <c r="BP500" s="4"/>
      <c r="BQ500" s="4"/>
      <c r="BR500" s="4"/>
      <c r="BS500" s="4"/>
      <c r="BT500" s="22"/>
      <c r="BU500" s="24"/>
    </row>
    <row r="501" spans="1:73" ht="73.5" customHeight="1" outlineLevel="2">
      <c r="A501" s="44" t="s">
        <v>407</v>
      </c>
      <c r="B501" s="45" t="s">
        <v>279</v>
      </c>
      <c r="C501" s="39">
        <f t="shared" si="81"/>
        <v>65.32258</v>
      </c>
      <c r="D501" s="1">
        <f t="shared" si="79"/>
        <v>43.50031</v>
      </c>
      <c r="E501" s="1">
        <f t="shared" si="80"/>
        <v>21.822270000000003</v>
      </c>
      <c r="F501" s="22"/>
      <c r="G501" s="22"/>
      <c r="H501" s="22"/>
      <c r="I501" s="22"/>
      <c r="J501" s="22"/>
      <c r="K501" s="22"/>
      <c r="L501" s="22"/>
      <c r="M501" s="22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22"/>
      <c r="AA501" s="22"/>
      <c r="AB501" s="23">
        <v>21.65211</v>
      </c>
      <c r="AC501" s="4">
        <v>8.1582</v>
      </c>
      <c r="AD501" s="22"/>
      <c r="AE501" s="22"/>
      <c r="AF501" s="22"/>
      <c r="AG501" s="22"/>
      <c r="AH501" s="20"/>
      <c r="AI501" s="4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4"/>
      <c r="BA501" s="4"/>
      <c r="BB501" s="4"/>
      <c r="BC501" s="22"/>
      <c r="BD501" s="22"/>
      <c r="BE501" s="22"/>
      <c r="BF501" s="22">
        <v>21.8482</v>
      </c>
      <c r="BG501" s="22">
        <v>13.66407</v>
      </c>
      <c r="BH501" s="22"/>
      <c r="BI501" s="22"/>
      <c r="BJ501" s="22"/>
      <c r="BK501" s="22"/>
      <c r="BL501" s="22"/>
      <c r="BM501" s="22"/>
      <c r="BN501" s="22"/>
      <c r="BO501" s="4"/>
      <c r="BP501" s="4"/>
      <c r="BQ501" s="4"/>
      <c r="BR501" s="4"/>
      <c r="BS501" s="4"/>
      <c r="BT501" s="22"/>
      <c r="BU501" s="24"/>
    </row>
    <row r="502" spans="1:73" ht="73.5" customHeight="1" outlineLevel="2">
      <c r="A502" s="44" t="s">
        <v>407</v>
      </c>
      <c r="B502" s="45" t="s">
        <v>278</v>
      </c>
      <c r="C502" s="39">
        <f t="shared" si="81"/>
        <v>739.8823500000001</v>
      </c>
      <c r="D502" s="1">
        <f t="shared" si="79"/>
        <v>416.46504</v>
      </c>
      <c r="E502" s="1">
        <f t="shared" si="80"/>
        <v>323.41731000000004</v>
      </c>
      <c r="F502" s="22"/>
      <c r="G502" s="22"/>
      <c r="H502" s="22"/>
      <c r="I502" s="22"/>
      <c r="J502" s="22"/>
      <c r="K502" s="22"/>
      <c r="L502" s="22"/>
      <c r="M502" s="22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22"/>
      <c r="AA502" s="22">
        <v>11.583</v>
      </c>
      <c r="AB502" s="23">
        <v>189.48645</v>
      </c>
      <c r="AC502" s="4">
        <v>93.23653</v>
      </c>
      <c r="AD502" s="22"/>
      <c r="AE502" s="22"/>
      <c r="AF502" s="22"/>
      <c r="AG502" s="22"/>
      <c r="AH502" s="20"/>
      <c r="AI502" s="4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4"/>
      <c r="BA502" s="4"/>
      <c r="BB502" s="4"/>
      <c r="BC502" s="22"/>
      <c r="BD502" s="22">
        <f>41.0536+35.27055</f>
        <v>76.32415</v>
      </c>
      <c r="BE502" s="22"/>
      <c r="BF502" s="22">
        <v>226.97859</v>
      </c>
      <c r="BG502" s="22">
        <v>142.27363</v>
      </c>
      <c r="BH502" s="22"/>
      <c r="BI502" s="22"/>
      <c r="BJ502" s="22"/>
      <c r="BK502" s="22"/>
      <c r="BL502" s="22"/>
      <c r="BM502" s="22"/>
      <c r="BN502" s="22"/>
      <c r="BO502" s="4"/>
      <c r="BP502" s="4"/>
      <c r="BQ502" s="4"/>
      <c r="BR502" s="4"/>
      <c r="BS502" s="4"/>
      <c r="BT502" s="22"/>
      <c r="BU502" s="24"/>
    </row>
    <row r="503" spans="1:73" ht="73.5" customHeight="1" outlineLevel="2">
      <c r="A503" s="44" t="s">
        <v>407</v>
      </c>
      <c r="B503" s="45" t="s">
        <v>496</v>
      </c>
      <c r="C503" s="39">
        <f t="shared" si="81"/>
        <v>99.97916000000001</v>
      </c>
      <c r="D503" s="1">
        <f t="shared" si="79"/>
        <v>64.58834</v>
      </c>
      <c r="E503" s="1">
        <f t="shared" si="80"/>
        <v>35.390820000000005</v>
      </c>
      <c r="F503" s="22"/>
      <c r="G503" s="22"/>
      <c r="H503" s="22"/>
      <c r="I503" s="22"/>
      <c r="J503" s="22"/>
      <c r="K503" s="22"/>
      <c r="L503" s="22"/>
      <c r="M503" s="2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22"/>
      <c r="AA503" s="22"/>
      <c r="AB503" s="23">
        <v>24.69291</v>
      </c>
      <c r="AC503" s="4">
        <v>10.48911</v>
      </c>
      <c r="AD503" s="22"/>
      <c r="AE503" s="22"/>
      <c r="AF503" s="22"/>
      <c r="AG503" s="22"/>
      <c r="AH503" s="20"/>
      <c r="AI503" s="4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4"/>
      <c r="BA503" s="4"/>
      <c r="BB503" s="4"/>
      <c r="BC503" s="22"/>
      <c r="BD503" s="22"/>
      <c r="BE503" s="22"/>
      <c r="BF503" s="22">
        <v>39.89543</v>
      </c>
      <c r="BG503" s="22">
        <v>24.90171</v>
      </c>
      <c r="BH503" s="22"/>
      <c r="BI503" s="22"/>
      <c r="BJ503" s="22"/>
      <c r="BK503" s="22"/>
      <c r="BL503" s="22"/>
      <c r="BM503" s="22"/>
      <c r="BN503" s="22"/>
      <c r="BO503" s="4"/>
      <c r="BP503" s="4"/>
      <c r="BQ503" s="4"/>
      <c r="BR503" s="4"/>
      <c r="BS503" s="4"/>
      <c r="BT503" s="22"/>
      <c r="BU503" s="24"/>
    </row>
    <row r="504" spans="1:73" ht="73.5" customHeight="1" outlineLevel="2">
      <c r="A504" s="44" t="s">
        <v>407</v>
      </c>
      <c r="B504" s="45" t="s">
        <v>906</v>
      </c>
      <c r="C504" s="39">
        <f>D504+E504</f>
        <v>28.829449999999998</v>
      </c>
      <c r="D504" s="1">
        <f t="shared" si="79"/>
        <v>22.53598</v>
      </c>
      <c r="E504" s="1">
        <f t="shared" si="80"/>
        <v>6.29347</v>
      </c>
      <c r="F504" s="22"/>
      <c r="G504" s="22"/>
      <c r="H504" s="22"/>
      <c r="I504" s="22"/>
      <c r="J504" s="22"/>
      <c r="K504" s="22"/>
      <c r="L504" s="22"/>
      <c r="M504" s="22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22"/>
      <c r="AA504" s="22"/>
      <c r="AB504" s="23">
        <v>22.53598</v>
      </c>
      <c r="AC504" s="4">
        <v>6.29347</v>
      </c>
      <c r="AD504" s="22"/>
      <c r="AE504" s="22"/>
      <c r="AF504" s="22"/>
      <c r="AG504" s="22"/>
      <c r="AH504" s="20"/>
      <c r="AI504" s="4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4"/>
      <c r="BA504" s="4"/>
      <c r="BB504" s="4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4"/>
      <c r="BP504" s="4"/>
      <c r="BQ504" s="4"/>
      <c r="BR504" s="4"/>
      <c r="BS504" s="4"/>
      <c r="BT504" s="22"/>
      <c r="BU504" s="24"/>
    </row>
    <row r="505" spans="1:73" ht="73.5" customHeight="1" outlineLevel="2">
      <c r="A505" s="44" t="s">
        <v>407</v>
      </c>
      <c r="B505" s="45" t="s">
        <v>907</v>
      </c>
      <c r="C505" s="39">
        <f>D505+E505</f>
        <v>135.95103</v>
      </c>
      <c r="D505" s="1">
        <f t="shared" si="79"/>
        <v>92.59604</v>
      </c>
      <c r="E505" s="1">
        <f t="shared" si="80"/>
        <v>43.35499</v>
      </c>
      <c r="F505" s="22"/>
      <c r="G505" s="22"/>
      <c r="H505" s="22"/>
      <c r="I505" s="22"/>
      <c r="J505" s="22"/>
      <c r="K505" s="22"/>
      <c r="L505" s="22"/>
      <c r="M505" s="22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22"/>
      <c r="AA505" s="22"/>
      <c r="AB505" s="23">
        <v>92.59604</v>
      </c>
      <c r="AC505" s="4">
        <v>43.35499</v>
      </c>
      <c r="AD505" s="22"/>
      <c r="AE505" s="22"/>
      <c r="AF505" s="22"/>
      <c r="AG505" s="22"/>
      <c r="AH505" s="20"/>
      <c r="AI505" s="4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4"/>
      <c r="BA505" s="4"/>
      <c r="BB505" s="4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4"/>
      <c r="BP505" s="4"/>
      <c r="BQ505" s="4"/>
      <c r="BR505" s="4"/>
      <c r="BS505" s="4"/>
      <c r="BT505" s="22"/>
      <c r="BU505" s="24"/>
    </row>
    <row r="506" spans="1:73" ht="73.5" customHeight="1" outlineLevel="2">
      <c r="A506" s="44" t="s">
        <v>407</v>
      </c>
      <c r="B506" s="45" t="s">
        <v>537</v>
      </c>
      <c r="C506" s="39">
        <f t="shared" si="81"/>
        <v>453.58977000000004</v>
      </c>
      <c r="D506" s="1">
        <f t="shared" si="79"/>
        <v>189.61787</v>
      </c>
      <c r="E506" s="1">
        <f t="shared" si="80"/>
        <v>263.9719</v>
      </c>
      <c r="F506" s="22"/>
      <c r="G506" s="22"/>
      <c r="H506" s="22"/>
      <c r="I506" s="22"/>
      <c r="J506" s="22"/>
      <c r="K506" s="22"/>
      <c r="L506" s="22"/>
      <c r="M506" s="22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22"/>
      <c r="AA506" s="22">
        <v>23.895</v>
      </c>
      <c r="AB506" s="23"/>
      <c r="AC506" s="4"/>
      <c r="AD506" s="22"/>
      <c r="AE506" s="22"/>
      <c r="AF506" s="22"/>
      <c r="AG506" s="22"/>
      <c r="AH506" s="20">
        <f>43.3593+50.5908</f>
        <v>93.95009999999999</v>
      </c>
      <c r="AI506" s="4">
        <v>50.5908</v>
      </c>
      <c r="AJ506" s="22">
        <v>43.3593</v>
      </c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4"/>
      <c r="BA506" s="4"/>
      <c r="BB506" s="4"/>
      <c r="BC506" s="22"/>
      <c r="BD506" s="22">
        <v>27.6689</v>
      </c>
      <c r="BE506" s="22"/>
      <c r="BF506" s="22">
        <v>189.61787</v>
      </c>
      <c r="BG506" s="22">
        <f>76.03852+42.41938</f>
        <v>118.4579</v>
      </c>
      <c r="BH506" s="22"/>
      <c r="BI506" s="22"/>
      <c r="BJ506" s="22"/>
      <c r="BK506" s="22"/>
      <c r="BL506" s="22"/>
      <c r="BM506" s="22"/>
      <c r="BN506" s="22"/>
      <c r="BO506" s="4"/>
      <c r="BP506" s="4"/>
      <c r="BQ506" s="4"/>
      <c r="BR506" s="4"/>
      <c r="BS506" s="4"/>
      <c r="BT506" s="22"/>
      <c r="BU506" s="24"/>
    </row>
    <row r="507" spans="1:73" ht="73.5" customHeight="1" outlineLevel="2">
      <c r="A507" s="44" t="s">
        <v>407</v>
      </c>
      <c r="B507" s="45" t="s">
        <v>908</v>
      </c>
      <c r="C507" s="39">
        <f t="shared" si="81"/>
        <v>1013.44468</v>
      </c>
      <c r="D507" s="1">
        <f t="shared" si="79"/>
        <v>690.1639299999999</v>
      </c>
      <c r="E507" s="1">
        <f t="shared" si="80"/>
        <v>323.28075</v>
      </c>
      <c r="F507" s="22"/>
      <c r="G507" s="22"/>
      <c r="H507" s="22"/>
      <c r="I507" s="22"/>
      <c r="J507" s="22">
        <v>289.4563</v>
      </c>
      <c r="K507" s="22">
        <v>50.34597</v>
      </c>
      <c r="L507" s="22"/>
      <c r="M507" s="22"/>
      <c r="N507" s="4">
        <v>42.79653</v>
      </c>
      <c r="O507" s="4">
        <v>4.67761</v>
      </c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22"/>
      <c r="AA507" s="22"/>
      <c r="AB507" s="23">
        <v>194.61768</v>
      </c>
      <c r="AC507" s="4">
        <v>47.55063</v>
      </c>
      <c r="AD507" s="22"/>
      <c r="AE507" s="22"/>
      <c r="AF507" s="22"/>
      <c r="AG507" s="22"/>
      <c r="AH507" s="20">
        <v>28.9062</v>
      </c>
      <c r="AI507" s="4"/>
      <c r="AJ507" s="20">
        <v>28.9062</v>
      </c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4"/>
      <c r="BA507" s="4"/>
      <c r="BB507" s="4"/>
      <c r="BC507" s="22"/>
      <c r="BD507" s="22">
        <v>89.86005</v>
      </c>
      <c r="BE507" s="22"/>
      <c r="BF507" s="22">
        <v>163.29342</v>
      </c>
      <c r="BG507" s="22">
        <v>101.94029</v>
      </c>
      <c r="BH507" s="22"/>
      <c r="BI507" s="22"/>
      <c r="BJ507" s="22"/>
      <c r="BK507" s="22"/>
      <c r="BL507" s="22"/>
      <c r="BM507" s="22"/>
      <c r="BN507" s="22"/>
      <c r="BO507" s="4"/>
      <c r="BP507" s="4"/>
      <c r="BQ507" s="4"/>
      <c r="BR507" s="4"/>
      <c r="BS507" s="4"/>
      <c r="BT507" s="22"/>
      <c r="BU507" s="24"/>
    </row>
    <row r="508" spans="1:73" ht="73.5" customHeight="1" outlineLevel="2">
      <c r="A508" s="44" t="s">
        <v>407</v>
      </c>
      <c r="B508" s="45" t="s">
        <v>159</v>
      </c>
      <c r="C508" s="39">
        <f t="shared" si="81"/>
        <v>86.30475</v>
      </c>
      <c r="D508" s="1">
        <f t="shared" si="79"/>
        <v>0</v>
      </c>
      <c r="E508" s="1">
        <f t="shared" si="80"/>
        <v>86.30475</v>
      </c>
      <c r="F508" s="22"/>
      <c r="G508" s="22"/>
      <c r="H508" s="22"/>
      <c r="I508" s="22"/>
      <c r="J508" s="22"/>
      <c r="K508" s="22"/>
      <c r="L508" s="22"/>
      <c r="M508" s="22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22"/>
      <c r="AA508" s="22"/>
      <c r="AB508" s="23"/>
      <c r="AC508" s="4"/>
      <c r="AD508" s="22"/>
      <c r="AE508" s="22"/>
      <c r="AF508" s="22"/>
      <c r="AG508" s="22"/>
      <c r="AH508" s="20"/>
      <c r="AI508" s="4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4"/>
      <c r="BA508" s="4"/>
      <c r="BB508" s="4"/>
      <c r="BC508" s="22"/>
      <c r="BD508" s="22">
        <v>86.30475</v>
      </c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4"/>
      <c r="BP508" s="4"/>
      <c r="BQ508" s="4"/>
      <c r="BR508" s="4"/>
      <c r="BS508" s="4"/>
      <c r="BT508" s="22"/>
      <c r="BU508" s="24"/>
    </row>
    <row r="509" spans="1:73" ht="73.5" customHeight="1" outlineLevel="2">
      <c r="A509" s="26" t="s">
        <v>407</v>
      </c>
      <c r="B509" s="45" t="s">
        <v>266</v>
      </c>
      <c r="C509" s="39">
        <f t="shared" si="81"/>
        <v>156.97663</v>
      </c>
      <c r="D509" s="1">
        <f t="shared" si="79"/>
        <v>110.85198</v>
      </c>
      <c r="E509" s="1">
        <f t="shared" si="80"/>
        <v>46.12465</v>
      </c>
      <c r="F509" s="22"/>
      <c r="G509" s="22"/>
      <c r="H509" s="22"/>
      <c r="I509" s="22"/>
      <c r="J509" s="22"/>
      <c r="K509" s="22"/>
      <c r="L509" s="22"/>
      <c r="M509" s="22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22"/>
      <c r="AA509" s="22"/>
      <c r="AB509" s="23">
        <v>64.84674</v>
      </c>
      <c r="AC509" s="4">
        <v>17.48185</v>
      </c>
      <c r="AD509" s="22"/>
      <c r="AE509" s="22"/>
      <c r="AF509" s="22"/>
      <c r="AG509" s="22"/>
      <c r="AH509" s="20"/>
      <c r="AI509" s="4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4"/>
      <c r="BA509" s="4"/>
      <c r="BB509" s="4"/>
      <c r="BC509" s="22"/>
      <c r="BD509" s="22"/>
      <c r="BE509" s="22"/>
      <c r="BF509" s="22">
        <v>46.00524</v>
      </c>
      <c r="BG509" s="22">
        <v>28.6428</v>
      </c>
      <c r="BH509" s="22"/>
      <c r="BI509" s="22"/>
      <c r="BJ509" s="22"/>
      <c r="BK509" s="22"/>
      <c r="BL509" s="22"/>
      <c r="BM509" s="22"/>
      <c r="BN509" s="22"/>
      <c r="BO509" s="4"/>
      <c r="BP509" s="4"/>
      <c r="BQ509" s="4"/>
      <c r="BR509" s="4"/>
      <c r="BS509" s="4"/>
      <c r="BT509" s="22"/>
      <c r="BU509" s="24"/>
    </row>
    <row r="510" spans="1:73" ht="73.5" customHeight="1" outlineLevel="2">
      <c r="A510" s="44" t="s">
        <v>407</v>
      </c>
      <c r="B510" s="45" t="s">
        <v>273</v>
      </c>
      <c r="C510" s="39">
        <f t="shared" si="81"/>
        <v>715.70123</v>
      </c>
      <c r="D510" s="1">
        <f t="shared" si="79"/>
        <v>500.29516</v>
      </c>
      <c r="E510" s="1">
        <f t="shared" si="80"/>
        <v>215.40607</v>
      </c>
      <c r="F510" s="22"/>
      <c r="G510" s="22"/>
      <c r="H510" s="22"/>
      <c r="I510" s="22"/>
      <c r="J510" s="22"/>
      <c r="K510" s="22"/>
      <c r="L510" s="22"/>
      <c r="M510" s="22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22"/>
      <c r="AA510" s="22"/>
      <c r="AB510" s="23">
        <v>312.66482</v>
      </c>
      <c r="AC510" s="4">
        <v>75.75468</v>
      </c>
      <c r="AD510" s="22"/>
      <c r="AE510" s="22"/>
      <c r="AF510" s="22"/>
      <c r="AG510" s="22"/>
      <c r="AH510" s="20"/>
      <c r="AI510" s="4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4"/>
      <c r="BA510" s="4"/>
      <c r="BB510" s="4"/>
      <c r="BC510" s="22"/>
      <c r="BD510" s="22">
        <v>22.47</v>
      </c>
      <c r="BE510" s="22"/>
      <c r="BF510" s="22">
        <v>187.63034</v>
      </c>
      <c r="BG510" s="22">
        <v>117.18139</v>
      </c>
      <c r="BH510" s="22"/>
      <c r="BI510" s="22"/>
      <c r="BJ510" s="22"/>
      <c r="BK510" s="22"/>
      <c r="BL510" s="22"/>
      <c r="BM510" s="22"/>
      <c r="BN510" s="22"/>
      <c r="BO510" s="4"/>
      <c r="BP510" s="4"/>
      <c r="BQ510" s="4"/>
      <c r="BR510" s="4"/>
      <c r="BS510" s="4"/>
      <c r="BT510" s="22"/>
      <c r="BU510" s="24"/>
    </row>
    <row r="511" spans="1:73" ht="73.5" customHeight="1" outlineLevel="2">
      <c r="A511" s="46" t="s">
        <v>407</v>
      </c>
      <c r="B511" s="45" t="s">
        <v>909</v>
      </c>
      <c r="C511" s="39">
        <f t="shared" si="81"/>
        <v>573.41867</v>
      </c>
      <c r="D511" s="1">
        <f t="shared" si="79"/>
        <v>306.57888</v>
      </c>
      <c r="E511" s="1">
        <f t="shared" si="80"/>
        <v>266.83979</v>
      </c>
      <c r="F511" s="22"/>
      <c r="G511" s="22"/>
      <c r="H511" s="22"/>
      <c r="I511" s="22"/>
      <c r="J511" s="22"/>
      <c r="K511" s="22"/>
      <c r="L511" s="22"/>
      <c r="M511" s="22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22"/>
      <c r="AA511" s="22"/>
      <c r="AB511" s="23">
        <v>138.745</v>
      </c>
      <c r="AC511" s="4">
        <v>44.75353</v>
      </c>
      <c r="AD511" s="22"/>
      <c r="AE511" s="22"/>
      <c r="AF511" s="22"/>
      <c r="AG511" s="22"/>
      <c r="AH511" s="20">
        <f>21.67965+28.106</f>
        <v>49.785650000000004</v>
      </c>
      <c r="AI511" s="4">
        <v>28.106</v>
      </c>
      <c r="AJ511" s="22">
        <v>21.67965</v>
      </c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>
        <v>64.65258</v>
      </c>
      <c r="AZ511" s="4">
        <v>50.98957</v>
      </c>
      <c r="BA511" s="4"/>
      <c r="BB511" s="4"/>
      <c r="BC511" s="22"/>
      <c r="BD511" s="22">
        <v>56.833</v>
      </c>
      <c r="BE511" s="22"/>
      <c r="BF511" s="22">
        <v>103.1813</v>
      </c>
      <c r="BG511" s="22">
        <v>64.47804</v>
      </c>
      <c r="BH511" s="22"/>
      <c r="BI511" s="22"/>
      <c r="BJ511" s="22"/>
      <c r="BK511" s="22"/>
      <c r="BL511" s="22"/>
      <c r="BM511" s="22"/>
      <c r="BN511" s="22"/>
      <c r="BO511" s="4"/>
      <c r="BP511" s="4"/>
      <c r="BQ511" s="4"/>
      <c r="BR511" s="4"/>
      <c r="BS511" s="4"/>
      <c r="BT511" s="22"/>
      <c r="BU511" s="24"/>
    </row>
    <row r="512" spans="1:73" ht="73.5" customHeight="1" outlineLevel="2" thickBot="1">
      <c r="A512" s="46" t="s">
        <v>407</v>
      </c>
      <c r="B512" s="45" t="s">
        <v>379</v>
      </c>
      <c r="C512" s="39">
        <f t="shared" si="81"/>
        <v>1717.9514</v>
      </c>
      <c r="D512" s="1">
        <f t="shared" si="79"/>
        <v>0</v>
      </c>
      <c r="E512" s="1">
        <f t="shared" si="80"/>
        <v>1717.9514</v>
      </c>
      <c r="F512" s="22"/>
      <c r="G512" s="22"/>
      <c r="H512" s="22"/>
      <c r="I512" s="22"/>
      <c r="J512" s="22"/>
      <c r="K512" s="22"/>
      <c r="L512" s="22"/>
      <c r="M512" s="22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22"/>
      <c r="AA512" s="22"/>
      <c r="AB512" s="4"/>
      <c r="AC512" s="4"/>
      <c r="AD512" s="22"/>
      <c r="AE512" s="22"/>
      <c r="AF512" s="22"/>
      <c r="AG512" s="22"/>
      <c r="AH512" s="20"/>
      <c r="AI512" s="4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4"/>
      <c r="BA512" s="4"/>
      <c r="BB512" s="4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>
        <v>1717.9514</v>
      </c>
      <c r="BN512" s="22"/>
      <c r="BO512" s="4"/>
      <c r="BP512" s="4"/>
      <c r="BQ512" s="4"/>
      <c r="BR512" s="4"/>
      <c r="BS512" s="4"/>
      <c r="BT512" s="22"/>
      <c r="BU512" s="24"/>
    </row>
    <row r="513" spans="1:74" s="35" customFormat="1" ht="73.5" customHeight="1" outlineLevel="1" thickBot="1">
      <c r="A513" s="29" t="s">
        <v>318</v>
      </c>
      <c r="B513" s="48"/>
      <c r="C513" s="31">
        <f aca="true" t="shared" si="82" ref="C513:BN513">SUBTOTAL(9,C473:C512)</f>
        <v>276627.32609000016</v>
      </c>
      <c r="D513" s="31">
        <f t="shared" si="82"/>
        <v>118254.77231999997</v>
      </c>
      <c r="E513" s="31">
        <f t="shared" si="82"/>
        <v>158372.55377</v>
      </c>
      <c r="F513" s="31">
        <f t="shared" si="82"/>
        <v>0</v>
      </c>
      <c r="G513" s="31">
        <f t="shared" si="82"/>
        <v>0</v>
      </c>
      <c r="H513" s="31">
        <f t="shared" si="82"/>
        <v>0</v>
      </c>
      <c r="I513" s="31">
        <f t="shared" si="82"/>
        <v>22.31149</v>
      </c>
      <c r="J513" s="31">
        <f t="shared" si="82"/>
        <v>3895.32638</v>
      </c>
      <c r="K513" s="31">
        <f t="shared" si="82"/>
        <v>1319.84926</v>
      </c>
      <c r="L513" s="31">
        <f t="shared" si="82"/>
        <v>4867.20853</v>
      </c>
      <c r="M513" s="31">
        <f t="shared" si="82"/>
        <v>0</v>
      </c>
      <c r="N513" s="31">
        <f t="shared" si="82"/>
        <v>42.79653</v>
      </c>
      <c r="O513" s="31">
        <f t="shared" si="82"/>
        <v>4.67761</v>
      </c>
      <c r="P513" s="31">
        <f t="shared" si="82"/>
        <v>2540.80889</v>
      </c>
      <c r="Q513" s="31">
        <f t="shared" si="82"/>
        <v>0</v>
      </c>
      <c r="R513" s="31">
        <f t="shared" si="82"/>
        <v>6910.71659</v>
      </c>
      <c r="S513" s="31">
        <f t="shared" si="82"/>
        <v>3332.6922799999998</v>
      </c>
      <c r="T513" s="31">
        <f t="shared" si="82"/>
        <v>0</v>
      </c>
      <c r="U513" s="31">
        <f t="shared" si="82"/>
        <v>0</v>
      </c>
      <c r="V513" s="31">
        <f t="shared" si="82"/>
        <v>0</v>
      </c>
      <c r="W513" s="31">
        <f t="shared" si="82"/>
        <v>0</v>
      </c>
      <c r="X513" s="31">
        <f t="shared" si="82"/>
        <v>60.88809</v>
      </c>
      <c r="Y513" s="31">
        <f t="shared" si="82"/>
        <v>46.61176</v>
      </c>
      <c r="Z513" s="31">
        <f t="shared" si="82"/>
        <v>334.99842</v>
      </c>
      <c r="AA513" s="31">
        <f t="shared" si="82"/>
        <v>1085.8563000000001</v>
      </c>
      <c r="AB513" s="31">
        <f t="shared" si="82"/>
        <v>9464.041620000004</v>
      </c>
      <c r="AC513" s="31">
        <f t="shared" si="82"/>
        <v>3216.5436600000003</v>
      </c>
      <c r="AD513" s="31">
        <f t="shared" si="82"/>
        <v>0</v>
      </c>
      <c r="AE513" s="31">
        <f t="shared" si="82"/>
        <v>0</v>
      </c>
      <c r="AF513" s="31">
        <f t="shared" si="82"/>
        <v>0</v>
      </c>
      <c r="AG513" s="31">
        <f t="shared" si="82"/>
        <v>0</v>
      </c>
      <c r="AH513" s="31">
        <f t="shared" si="82"/>
        <v>9440.932349999995</v>
      </c>
      <c r="AI513" s="31">
        <f t="shared" si="82"/>
        <v>3450.9790499999995</v>
      </c>
      <c r="AJ513" s="31">
        <f t="shared" si="82"/>
        <v>5989.9533</v>
      </c>
      <c r="AK513" s="31">
        <f t="shared" si="82"/>
        <v>0</v>
      </c>
      <c r="AL513" s="31">
        <f t="shared" si="82"/>
        <v>4480.18758</v>
      </c>
      <c r="AM513" s="31">
        <f t="shared" si="82"/>
        <v>20855.7739</v>
      </c>
      <c r="AN513" s="31">
        <f t="shared" si="82"/>
        <v>7303.23048</v>
      </c>
      <c r="AO513" s="31">
        <f t="shared" si="82"/>
        <v>810.92475</v>
      </c>
      <c r="AP513" s="31">
        <f t="shared" si="82"/>
        <v>270</v>
      </c>
      <c r="AQ513" s="31">
        <f t="shared" si="82"/>
        <v>0</v>
      </c>
      <c r="AR513" s="31">
        <f t="shared" si="82"/>
        <v>0</v>
      </c>
      <c r="AS513" s="31">
        <f t="shared" si="82"/>
        <v>0</v>
      </c>
      <c r="AT513" s="31">
        <f t="shared" si="82"/>
        <v>0</v>
      </c>
      <c r="AU513" s="31">
        <f t="shared" si="82"/>
        <v>0</v>
      </c>
      <c r="AV513" s="31">
        <f t="shared" si="82"/>
        <v>0</v>
      </c>
      <c r="AW513" s="31">
        <f t="shared" si="82"/>
        <v>0</v>
      </c>
      <c r="AX513" s="31">
        <f t="shared" si="82"/>
        <v>0</v>
      </c>
      <c r="AY513" s="31">
        <f t="shared" si="82"/>
        <v>45788.681690000005</v>
      </c>
      <c r="AZ513" s="31">
        <f t="shared" si="82"/>
        <v>44821.238789999996</v>
      </c>
      <c r="BA513" s="31">
        <f t="shared" si="82"/>
        <v>0</v>
      </c>
      <c r="BB513" s="31">
        <f t="shared" si="82"/>
        <v>0</v>
      </c>
      <c r="BC513" s="31">
        <f t="shared" si="82"/>
        <v>0</v>
      </c>
      <c r="BD513" s="31">
        <f t="shared" si="82"/>
        <v>31758.197279999997</v>
      </c>
      <c r="BE513" s="31">
        <f t="shared" si="82"/>
        <v>22274.51139</v>
      </c>
      <c r="BF513" s="31">
        <f t="shared" si="82"/>
        <v>30090.62435</v>
      </c>
      <c r="BG513" s="31">
        <f t="shared" si="82"/>
        <v>18804.346279999998</v>
      </c>
      <c r="BH513" s="31">
        <f t="shared" si="82"/>
        <v>0</v>
      </c>
      <c r="BI513" s="31">
        <f t="shared" si="82"/>
        <v>0</v>
      </c>
      <c r="BJ513" s="31">
        <f t="shared" si="82"/>
        <v>1065.39844</v>
      </c>
      <c r="BK513" s="31">
        <f t="shared" si="82"/>
        <v>0</v>
      </c>
      <c r="BL513" s="31">
        <f t="shared" si="82"/>
        <v>0</v>
      </c>
      <c r="BM513" s="31">
        <f t="shared" si="82"/>
        <v>1717.9514</v>
      </c>
      <c r="BN513" s="31">
        <f t="shared" si="82"/>
        <v>0</v>
      </c>
      <c r="BO513" s="31">
        <f aca="true" t="shared" si="83" ref="BO513:BT513">SUBTOTAL(9,BO473:BO512)</f>
        <v>0</v>
      </c>
      <c r="BP513" s="31">
        <f t="shared" si="83"/>
        <v>0</v>
      </c>
      <c r="BQ513" s="31">
        <f t="shared" si="83"/>
        <v>0</v>
      </c>
      <c r="BR513" s="31">
        <f t="shared" si="83"/>
        <v>0</v>
      </c>
      <c r="BS513" s="32">
        <f t="shared" si="83"/>
        <v>0</v>
      </c>
      <c r="BT513" s="32">
        <f t="shared" si="83"/>
        <v>0</v>
      </c>
      <c r="BU513" s="33"/>
      <c r="BV513" s="34"/>
    </row>
    <row r="514" spans="1:73" ht="73.5" customHeight="1" outlineLevel="2">
      <c r="A514" s="36" t="s">
        <v>319</v>
      </c>
      <c r="B514" s="37" t="s">
        <v>500</v>
      </c>
      <c r="C514" s="39">
        <f>D514+E514</f>
        <v>34.23171</v>
      </c>
      <c r="D514" s="1">
        <f aca="true" t="shared" si="84" ref="D514:D535">F514+J514+N514+R514+T514+Z514+AB514+AD514+AF514+AM514+AO514+AT514+AY514+BF514+BO514+BS514+H514+V514+X514+BQ514+AR514+BH514</f>
        <v>24.38853</v>
      </c>
      <c r="E514" s="1">
        <f aca="true" t="shared" si="85" ref="E514:E535">G514+I514+K514+L514+M514+O514+P514+Q514+S514+U514+W514+Y514+AA514+AC514+AE514+AG514+AH514+AK514+AL514+AN514+AP514+AQ514+AS514+AU514+AV514+AW514+AX514+AZ514+BA514+BB514+BC514+BD514+BE514+BG514+BI514+BJ514+BK514+BL514+BM514+BN514+BU514+BP514+BR514+BT514</f>
        <v>9.84318</v>
      </c>
      <c r="F514" s="40"/>
      <c r="G514" s="40"/>
      <c r="H514" s="40"/>
      <c r="I514" s="40"/>
      <c r="J514" s="40">
        <v>24.38853</v>
      </c>
      <c r="K514" s="40">
        <v>9.84318</v>
      </c>
      <c r="L514" s="40"/>
      <c r="M514" s="40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0"/>
      <c r="AA514" s="40"/>
      <c r="AB514" s="42"/>
      <c r="AC514" s="41"/>
      <c r="AD514" s="40"/>
      <c r="AE514" s="40"/>
      <c r="AF514" s="40"/>
      <c r="AG514" s="40"/>
      <c r="AH514" s="43"/>
      <c r="AI514" s="41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1"/>
      <c r="BA514" s="41"/>
      <c r="BB514" s="41"/>
      <c r="BC514" s="40"/>
      <c r="BD514" s="40"/>
      <c r="BE514" s="40"/>
      <c r="BF514" s="40"/>
      <c r="BG514" s="28"/>
      <c r="BH514" s="28"/>
      <c r="BI514" s="40"/>
      <c r="BJ514" s="40"/>
      <c r="BK514" s="40"/>
      <c r="BL514" s="40"/>
      <c r="BM514" s="40"/>
      <c r="BN514" s="40"/>
      <c r="BO514" s="41"/>
      <c r="BP514" s="41"/>
      <c r="BQ514" s="41"/>
      <c r="BR514" s="41"/>
      <c r="BS514" s="4"/>
      <c r="BT514" s="22"/>
      <c r="BU514" s="24"/>
    </row>
    <row r="515" spans="1:73" ht="73.5" customHeight="1" outlineLevel="2">
      <c r="A515" s="46" t="s">
        <v>319</v>
      </c>
      <c r="B515" s="45" t="s">
        <v>540</v>
      </c>
      <c r="C515" s="39">
        <f aca="true" t="shared" si="86" ref="C515:C535">D515+E515</f>
        <v>3334.26126</v>
      </c>
      <c r="D515" s="1">
        <f t="shared" si="84"/>
        <v>1613.65834</v>
      </c>
      <c r="E515" s="1">
        <f t="shared" si="85"/>
        <v>1720.60292</v>
      </c>
      <c r="F515" s="22"/>
      <c r="G515" s="22"/>
      <c r="H515" s="22">
        <v>262.33475</v>
      </c>
      <c r="I515" s="22">
        <v>105.08035</v>
      </c>
      <c r="J515" s="22"/>
      <c r="K515" s="22"/>
      <c r="L515" s="22"/>
      <c r="M515" s="22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22"/>
      <c r="AA515" s="22">
        <v>69.7005</v>
      </c>
      <c r="AB515" s="23">
        <v>157.61473</v>
      </c>
      <c r="AC515" s="4">
        <v>61.06993</v>
      </c>
      <c r="AD515" s="22"/>
      <c r="AE515" s="22"/>
      <c r="AF515" s="22"/>
      <c r="AG515" s="22"/>
      <c r="AH515" s="20">
        <f>86.52768+124.05835</f>
        <v>210.58603</v>
      </c>
      <c r="AI515" s="4">
        <v>124.05835</v>
      </c>
      <c r="AJ515" s="22">
        <v>86.52768</v>
      </c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>
        <v>526.73522</v>
      </c>
      <c r="AZ515" s="4">
        <v>192.02508</v>
      </c>
      <c r="BA515" s="4"/>
      <c r="BB515" s="4"/>
      <c r="BC515" s="22"/>
      <c r="BD515" s="22"/>
      <c r="BE515" s="22"/>
      <c r="BF515" s="22">
        <v>666.97364</v>
      </c>
      <c r="BG515" s="40">
        <v>416.74782</v>
      </c>
      <c r="BH515" s="40"/>
      <c r="BI515" s="22"/>
      <c r="BJ515" s="22">
        <v>665.39321</v>
      </c>
      <c r="BK515" s="22"/>
      <c r="BL515" s="22"/>
      <c r="BM515" s="22"/>
      <c r="BN515" s="22"/>
      <c r="BO515" s="4"/>
      <c r="BP515" s="4"/>
      <c r="BQ515" s="4"/>
      <c r="BR515" s="4"/>
      <c r="BS515" s="4"/>
      <c r="BT515" s="22"/>
      <c r="BU515" s="24"/>
    </row>
    <row r="516" spans="1:73" ht="73.5" customHeight="1" outlineLevel="2">
      <c r="A516" s="46" t="s">
        <v>319</v>
      </c>
      <c r="B516" s="45" t="s">
        <v>288</v>
      </c>
      <c r="C516" s="39">
        <f t="shared" si="86"/>
        <v>2251.49757</v>
      </c>
      <c r="D516" s="1">
        <f t="shared" si="84"/>
        <v>1473.0969</v>
      </c>
      <c r="E516" s="1">
        <f t="shared" si="85"/>
        <v>778.40067</v>
      </c>
      <c r="F516" s="22"/>
      <c r="G516" s="22"/>
      <c r="H516" s="22"/>
      <c r="I516" s="22"/>
      <c r="J516" s="22"/>
      <c r="K516" s="22"/>
      <c r="L516" s="22"/>
      <c r="M516" s="22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22"/>
      <c r="AA516" s="22"/>
      <c r="AB516" s="23">
        <v>434.08958</v>
      </c>
      <c r="AC516" s="4">
        <v>181.81123</v>
      </c>
      <c r="AD516" s="22"/>
      <c r="AE516" s="22"/>
      <c r="AF516" s="22"/>
      <c r="AG516" s="22"/>
      <c r="AH516" s="20"/>
      <c r="AI516" s="4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>
        <v>251.11836</v>
      </c>
      <c r="AZ516" s="4">
        <v>103.92107</v>
      </c>
      <c r="BA516" s="4"/>
      <c r="BB516" s="4"/>
      <c r="BC516" s="22"/>
      <c r="BD516" s="22"/>
      <c r="BE516" s="22"/>
      <c r="BF516" s="22">
        <v>787.88896</v>
      </c>
      <c r="BG516" s="22">
        <v>492.66837</v>
      </c>
      <c r="BH516" s="22"/>
      <c r="BI516" s="22"/>
      <c r="BJ516" s="22"/>
      <c r="BK516" s="22"/>
      <c r="BL516" s="22"/>
      <c r="BM516" s="22"/>
      <c r="BN516" s="22"/>
      <c r="BO516" s="4"/>
      <c r="BP516" s="4"/>
      <c r="BQ516" s="4"/>
      <c r="BR516" s="4"/>
      <c r="BS516" s="4"/>
      <c r="BT516" s="22"/>
      <c r="BU516" s="24"/>
    </row>
    <row r="517" spans="1:73" ht="73.5" customHeight="1" outlineLevel="2">
      <c r="A517" s="44" t="s">
        <v>319</v>
      </c>
      <c r="B517" s="26" t="s">
        <v>910</v>
      </c>
      <c r="C517" s="39">
        <f t="shared" si="86"/>
        <v>304.7499</v>
      </c>
      <c r="D517" s="1">
        <f t="shared" si="84"/>
        <v>169.88425</v>
      </c>
      <c r="E517" s="1">
        <f t="shared" si="85"/>
        <v>134.86565</v>
      </c>
      <c r="F517" s="22"/>
      <c r="G517" s="22"/>
      <c r="H517" s="22"/>
      <c r="I517" s="22"/>
      <c r="J517" s="22"/>
      <c r="K517" s="22"/>
      <c r="L517" s="22"/>
      <c r="M517" s="22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22"/>
      <c r="AA517" s="22">
        <v>9.639</v>
      </c>
      <c r="AB517" s="23">
        <v>66.01338</v>
      </c>
      <c r="AC517" s="4">
        <v>26.10623</v>
      </c>
      <c r="AD517" s="22"/>
      <c r="AE517" s="22"/>
      <c r="AF517" s="22"/>
      <c r="AG517" s="22"/>
      <c r="AH517" s="20">
        <f>11.71729+22.4848</f>
        <v>34.20209</v>
      </c>
      <c r="AI517" s="4">
        <v>22.4848</v>
      </c>
      <c r="AJ517" s="22">
        <v>11.71729</v>
      </c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4"/>
      <c r="BA517" s="4"/>
      <c r="BB517" s="4"/>
      <c r="BC517" s="22"/>
      <c r="BD517" s="22"/>
      <c r="BE517" s="22"/>
      <c r="BF517" s="22">
        <f>124.40677-20.5359</f>
        <v>103.87087</v>
      </c>
      <c r="BG517" s="22">
        <f>77.81363-12.8953</f>
        <v>64.91833</v>
      </c>
      <c r="BH517" s="22"/>
      <c r="BI517" s="22"/>
      <c r="BJ517" s="22"/>
      <c r="BK517" s="22"/>
      <c r="BL517" s="22"/>
      <c r="BM517" s="22"/>
      <c r="BN517" s="22"/>
      <c r="BO517" s="4"/>
      <c r="BP517" s="4"/>
      <c r="BQ517" s="4"/>
      <c r="BR517" s="4"/>
      <c r="BS517" s="4"/>
      <c r="BT517" s="22"/>
      <c r="BU517" s="24"/>
    </row>
    <row r="518" spans="1:73" ht="73.5" customHeight="1" outlineLevel="2">
      <c r="A518" s="44" t="s">
        <v>319</v>
      </c>
      <c r="B518" s="26" t="s">
        <v>520</v>
      </c>
      <c r="C518" s="39">
        <f t="shared" si="86"/>
        <v>126.73937000000001</v>
      </c>
      <c r="D518" s="1">
        <f t="shared" si="84"/>
        <v>77.84017</v>
      </c>
      <c r="E518" s="1">
        <f t="shared" si="85"/>
        <v>48.8992</v>
      </c>
      <c r="F518" s="22"/>
      <c r="G518" s="22"/>
      <c r="H518" s="22"/>
      <c r="I518" s="22"/>
      <c r="J518" s="22"/>
      <c r="K518" s="22"/>
      <c r="L518" s="22"/>
      <c r="M518" s="22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22"/>
      <c r="AA518" s="22"/>
      <c r="AB518" s="23"/>
      <c r="AC518" s="4"/>
      <c r="AD518" s="22"/>
      <c r="AE518" s="22"/>
      <c r="AF518" s="22"/>
      <c r="AG518" s="22"/>
      <c r="AH518" s="20"/>
      <c r="AI518" s="4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4"/>
      <c r="BA518" s="4"/>
      <c r="BB518" s="4"/>
      <c r="BC518" s="22"/>
      <c r="BD518" s="22"/>
      <c r="BE518" s="22"/>
      <c r="BF518" s="22">
        <v>77.84017</v>
      </c>
      <c r="BG518" s="22">
        <v>48.8992</v>
      </c>
      <c r="BH518" s="22"/>
      <c r="BI518" s="22"/>
      <c r="BJ518" s="22"/>
      <c r="BK518" s="22"/>
      <c r="BL518" s="22"/>
      <c r="BM518" s="22"/>
      <c r="BN518" s="22"/>
      <c r="BO518" s="4"/>
      <c r="BP518" s="4"/>
      <c r="BQ518" s="4"/>
      <c r="BR518" s="4"/>
      <c r="BS518" s="4"/>
      <c r="BT518" s="22"/>
      <c r="BU518" s="24"/>
    </row>
    <row r="519" spans="1:73" ht="73.5" customHeight="1" outlineLevel="2">
      <c r="A519" s="44" t="s">
        <v>319</v>
      </c>
      <c r="B519" s="26" t="s">
        <v>428</v>
      </c>
      <c r="C519" s="39">
        <f t="shared" si="86"/>
        <v>2176.9893700000002</v>
      </c>
      <c r="D519" s="1">
        <f t="shared" si="84"/>
        <v>1087.33267</v>
      </c>
      <c r="E519" s="1">
        <f t="shared" si="85"/>
        <v>1089.6567</v>
      </c>
      <c r="F519" s="22"/>
      <c r="G519" s="22"/>
      <c r="H519" s="22"/>
      <c r="I519" s="22"/>
      <c r="J519" s="22"/>
      <c r="K519" s="22"/>
      <c r="L519" s="22"/>
      <c r="M519" s="22"/>
      <c r="N519" s="4">
        <v>79.0657</v>
      </c>
      <c r="O519" s="4">
        <f>3.76745</f>
        <v>3.76745</v>
      </c>
      <c r="P519" s="4"/>
      <c r="Q519" s="4"/>
      <c r="R519" s="4">
        <v>32.52451</v>
      </c>
      <c r="S519" s="4">
        <v>16.00181</v>
      </c>
      <c r="T519" s="4"/>
      <c r="U519" s="4"/>
      <c r="V519" s="4"/>
      <c r="W519" s="4"/>
      <c r="X519" s="4"/>
      <c r="Y519" s="4"/>
      <c r="Z519" s="22">
        <v>52.12736</v>
      </c>
      <c r="AA519" s="22">
        <v>72.495</v>
      </c>
      <c r="AB519" s="23">
        <v>367.77671</v>
      </c>
      <c r="AC519" s="4">
        <v>131.6966</v>
      </c>
      <c r="AD519" s="22"/>
      <c r="AE519" s="22"/>
      <c r="AF519" s="22"/>
      <c r="AG519" s="22"/>
      <c r="AH519" s="20">
        <f>41.46118+55.40355+101.94565</f>
        <v>198.81038</v>
      </c>
      <c r="AI519" s="4">
        <v>101.94565</v>
      </c>
      <c r="AJ519" s="22">
        <v>96.86473</v>
      </c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4"/>
      <c r="BA519" s="4"/>
      <c r="BB519" s="4"/>
      <c r="BC519" s="22"/>
      <c r="BD519" s="22">
        <v>299.3396</v>
      </c>
      <c r="BE519" s="22">
        <v>20.81705</v>
      </c>
      <c r="BF519" s="22">
        <v>555.83839</v>
      </c>
      <c r="BG519" s="22">
        <v>346.72881</v>
      </c>
      <c r="BH519" s="22"/>
      <c r="BI519" s="22"/>
      <c r="BJ519" s="22"/>
      <c r="BK519" s="22"/>
      <c r="BL519" s="22"/>
      <c r="BM519" s="22"/>
      <c r="BN519" s="22"/>
      <c r="BO519" s="4"/>
      <c r="BP519" s="4"/>
      <c r="BQ519" s="4"/>
      <c r="BR519" s="4"/>
      <c r="BS519" s="4"/>
      <c r="BT519" s="22"/>
      <c r="BU519" s="24"/>
    </row>
    <row r="520" spans="1:73" ht="73.5" customHeight="1" outlineLevel="2">
      <c r="A520" s="44" t="s">
        <v>319</v>
      </c>
      <c r="B520" s="26" t="s">
        <v>306</v>
      </c>
      <c r="C520" s="39">
        <f t="shared" si="86"/>
        <v>77.88089</v>
      </c>
      <c r="D520" s="1">
        <f t="shared" si="84"/>
        <v>47.90931</v>
      </c>
      <c r="E520" s="1">
        <f t="shared" si="85"/>
        <v>29.97158</v>
      </c>
      <c r="F520" s="22"/>
      <c r="G520" s="22"/>
      <c r="H520" s="22"/>
      <c r="I520" s="22"/>
      <c r="J520" s="22"/>
      <c r="K520" s="22"/>
      <c r="L520" s="22"/>
      <c r="M520" s="22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22"/>
      <c r="AA520" s="22"/>
      <c r="AB520" s="4"/>
      <c r="AC520" s="4"/>
      <c r="AD520" s="22"/>
      <c r="AE520" s="22"/>
      <c r="AF520" s="22"/>
      <c r="AG520" s="22"/>
      <c r="AH520" s="20"/>
      <c r="AI520" s="4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4"/>
      <c r="BA520" s="4"/>
      <c r="BB520" s="4"/>
      <c r="BC520" s="22"/>
      <c r="BD520" s="22"/>
      <c r="BE520" s="22"/>
      <c r="BF520" s="22">
        <v>47.90931</v>
      </c>
      <c r="BG520" s="22">
        <v>29.97158</v>
      </c>
      <c r="BH520" s="22"/>
      <c r="BI520" s="22"/>
      <c r="BJ520" s="22"/>
      <c r="BK520" s="22"/>
      <c r="BL520" s="22"/>
      <c r="BM520" s="22"/>
      <c r="BN520" s="22"/>
      <c r="BO520" s="4"/>
      <c r="BP520" s="4"/>
      <c r="BQ520" s="4"/>
      <c r="BR520" s="4"/>
      <c r="BS520" s="4"/>
      <c r="BT520" s="22"/>
      <c r="BU520" s="24"/>
    </row>
    <row r="521" spans="1:73" ht="73.5" customHeight="1" outlineLevel="2">
      <c r="A521" s="44" t="s">
        <v>319</v>
      </c>
      <c r="B521" s="26" t="s">
        <v>281</v>
      </c>
      <c r="C521" s="39">
        <f t="shared" si="86"/>
        <v>135.30868</v>
      </c>
      <c r="D521" s="1">
        <f t="shared" si="84"/>
        <v>83.25152</v>
      </c>
      <c r="E521" s="1">
        <f t="shared" si="85"/>
        <v>52.05716</v>
      </c>
      <c r="F521" s="22"/>
      <c r="G521" s="22"/>
      <c r="H521" s="22"/>
      <c r="I521" s="22"/>
      <c r="J521" s="22"/>
      <c r="K521" s="22"/>
      <c r="L521" s="22"/>
      <c r="M521" s="22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22"/>
      <c r="AA521" s="22"/>
      <c r="AB521" s="23"/>
      <c r="AC521" s="4"/>
      <c r="AD521" s="22"/>
      <c r="AE521" s="22"/>
      <c r="AF521" s="22"/>
      <c r="AG521" s="22"/>
      <c r="AH521" s="20"/>
      <c r="AI521" s="4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4"/>
      <c r="BA521" s="4"/>
      <c r="BB521" s="4"/>
      <c r="BC521" s="22"/>
      <c r="BD521" s="22"/>
      <c r="BE521" s="22"/>
      <c r="BF521" s="22">
        <v>83.25152</v>
      </c>
      <c r="BG521" s="22">
        <v>52.05716</v>
      </c>
      <c r="BH521" s="22"/>
      <c r="BI521" s="22"/>
      <c r="BJ521" s="22"/>
      <c r="BK521" s="22"/>
      <c r="BL521" s="22"/>
      <c r="BM521" s="22"/>
      <c r="BN521" s="22"/>
      <c r="BO521" s="4"/>
      <c r="BP521" s="4"/>
      <c r="BQ521" s="4"/>
      <c r="BR521" s="4"/>
      <c r="BS521" s="4"/>
      <c r="BT521" s="22"/>
      <c r="BU521" s="24"/>
    </row>
    <row r="522" spans="1:73" ht="73.5" customHeight="1" outlineLevel="2">
      <c r="A522" s="44" t="s">
        <v>319</v>
      </c>
      <c r="B522" s="26" t="s">
        <v>911</v>
      </c>
      <c r="C522" s="39">
        <f t="shared" si="86"/>
        <v>453.55581000000006</v>
      </c>
      <c r="D522" s="1">
        <f t="shared" si="84"/>
        <v>293.79947000000004</v>
      </c>
      <c r="E522" s="1">
        <f t="shared" si="85"/>
        <v>159.75634</v>
      </c>
      <c r="F522" s="22"/>
      <c r="G522" s="22"/>
      <c r="H522" s="22"/>
      <c r="I522" s="22"/>
      <c r="J522" s="22"/>
      <c r="K522" s="22"/>
      <c r="L522" s="22"/>
      <c r="M522" s="22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22"/>
      <c r="AA522" s="22"/>
      <c r="AB522" s="23">
        <v>128.51979</v>
      </c>
      <c r="AC522" s="4">
        <v>56.4081</v>
      </c>
      <c r="AD522" s="22"/>
      <c r="AE522" s="22"/>
      <c r="AF522" s="22"/>
      <c r="AG522" s="22"/>
      <c r="AH522" s="20"/>
      <c r="AI522" s="4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4"/>
      <c r="BA522" s="4"/>
      <c r="BB522" s="4"/>
      <c r="BC522" s="22"/>
      <c r="BD522" s="22"/>
      <c r="BE522" s="22"/>
      <c r="BF522" s="22">
        <v>165.27968</v>
      </c>
      <c r="BG522" s="22">
        <v>103.34824</v>
      </c>
      <c r="BH522" s="22"/>
      <c r="BI522" s="22"/>
      <c r="BJ522" s="22"/>
      <c r="BK522" s="22"/>
      <c r="BL522" s="22"/>
      <c r="BM522" s="22"/>
      <c r="BN522" s="22"/>
      <c r="BO522" s="4"/>
      <c r="BP522" s="4"/>
      <c r="BQ522" s="4"/>
      <c r="BR522" s="4"/>
      <c r="BS522" s="4"/>
      <c r="BT522" s="22"/>
      <c r="BU522" s="24"/>
    </row>
    <row r="523" spans="1:73" ht="73.5" customHeight="1" outlineLevel="2">
      <c r="A523" s="26" t="s">
        <v>319</v>
      </c>
      <c r="B523" s="27" t="s">
        <v>912</v>
      </c>
      <c r="C523" s="39">
        <f t="shared" si="86"/>
        <v>119.75077000000002</v>
      </c>
      <c r="D523" s="1">
        <f t="shared" si="84"/>
        <v>55.56862</v>
      </c>
      <c r="E523" s="1">
        <f t="shared" si="85"/>
        <v>64.18215000000001</v>
      </c>
      <c r="F523" s="22"/>
      <c r="G523" s="22"/>
      <c r="H523" s="22"/>
      <c r="I523" s="22"/>
      <c r="J523" s="22"/>
      <c r="K523" s="22"/>
      <c r="L523" s="22"/>
      <c r="M523" s="22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22">
        <v>3.47516</v>
      </c>
      <c r="AA523" s="22">
        <v>4.779</v>
      </c>
      <c r="AB523" s="23"/>
      <c r="AC523" s="4"/>
      <c r="AD523" s="22"/>
      <c r="AE523" s="22"/>
      <c r="AF523" s="22"/>
      <c r="AG523" s="22"/>
      <c r="AH523" s="20">
        <f>9.91463+16.8636</f>
        <v>26.77823</v>
      </c>
      <c r="AI523" s="4">
        <v>16.8636</v>
      </c>
      <c r="AJ523" s="22">
        <v>9.91463</v>
      </c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4"/>
      <c r="BA523" s="4"/>
      <c r="BB523" s="4"/>
      <c r="BC523" s="22"/>
      <c r="BD523" s="22"/>
      <c r="BE523" s="22"/>
      <c r="BF523" s="22">
        <f>59.56106-7.4676</f>
        <v>52.09346</v>
      </c>
      <c r="BG523" s="22">
        <f>37.31412-4.6892</f>
        <v>32.62492</v>
      </c>
      <c r="BH523" s="22"/>
      <c r="BI523" s="22"/>
      <c r="BJ523" s="22"/>
      <c r="BK523" s="22"/>
      <c r="BL523" s="22"/>
      <c r="BM523" s="22"/>
      <c r="BN523" s="22"/>
      <c r="BO523" s="4"/>
      <c r="BP523" s="4"/>
      <c r="BQ523" s="4"/>
      <c r="BR523" s="4"/>
      <c r="BS523" s="4"/>
      <c r="BT523" s="22"/>
      <c r="BU523" s="24"/>
    </row>
    <row r="524" spans="1:73" ht="73.5" customHeight="1" outlineLevel="2">
      <c r="A524" s="26" t="s">
        <v>319</v>
      </c>
      <c r="B524" s="27" t="s">
        <v>913</v>
      </c>
      <c r="C524" s="39">
        <f t="shared" si="86"/>
        <v>72.14591</v>
      </c>
      <c r="D524" s="1">
        <f t="shared" si="84"/>
        <v>44.39391</v>
      </c>
      <c r="E524" s="1">
        <f t="shared" si="85"/>
        <v>27.752</v>
      </c>
      <c r="F524" s="22"/>
      <c r="G524" s="22"/>
      <c r="H524" s="22"/>
      <c r="I524" s="22"/>
      <c r="J524" s="22"/>
      <c r="K524" s="22"/>
      <c r="L524" s="22"/>
      <c r="M524" s="22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22"/>
      <c r="AA524" s="22"/>
      <c r="AB524" s="23"/>
      <c r="AC524" s="4"/>
      <c r="AD524" s="22"/>
      <c r="AE524" s="22"/>
      <c r="AF524" s="22"/>
      <c r="AG524" s="22"/>
      <c r="AH524" s="20"/>
      <c r="AI524" s="4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4"/>
      <c r="BA524" s="4"/>
      <c r="BB524" s="4"/>
      <c r="BC524" s="22"/>
      <c r="BD524" s="22"/>
      <c r="BE524" s="22"/>
      <c r="BF524" s="22">
        <v>44.39391</v>
      </c>
      <c r="BG524" s="22">
        <v>27.752</v>
      </c>
      <c r="BH524" s="22"/>
      <c r="BI524" s="22"/>
      <c r="BJ524" s="22"/>
      <c r="BK524" s="22"/>
      <c r="BL524" s="22"/>
      <c r="BM524" s="22"/>
      <c r="BN524" s="22"/>
      <c r="BO524" s="4"/>
      <c r="BP524" s="4"/>
      <c r="BQ524" s="4"/>
      <c r="BR524" s="4"/>
      <c r="BS524" s="4"/>
      <c r="BT524" s="22"/>
      <c r="BU524" s="24"/>
    </row>
    <row r="525" spans="1:73" ht="73.5" customHeight="1" outlineLevel="2">
      <c r="A525" s="44" t="s">
        <v>319</v>
      </c>
      <c r="B525" s="26" t="s">
        <v>914</v>
      </c>
      <c r="C525" s="39">
        <f t="shared" si="86"/>
        <v>156.74176</v>
      </c>
      <c r="D525" s="1">
        <f t="shared" si="84"/>
        <v>89.68453</v>
      </c>
      <c r="E525" s="1">
        <f t="shared" si="85"/>
        <v>67.05723</v>
      </c>
      <c r="F525" s="22"/>
      <c r="G525" s="22"/>
      <c r="H525" s="22"/>
      <c r="I525" s="22"/>
      <c r="J525" s="22"/>
      <c r="K525" s="22"/>
      <c r="L525" s="22"/>
      <c r="M525" s="22"/>
      <c r="N525" s="4">
        <v>20.86429</v>
      </c>
      <c r="O525" s="4">
        <f>1.08974</f>
        <v>1.08974</v>
      </c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22"/>
      <c r="AA525" s="22"/>
      <c r="AB525" s="23">
        <v>21.92003</v>
      </c>
      <c r="AC525" s="4">
        <v>11.65457</v>
      </c>
      <c r="AD525" s="22"/>
      <c r="AE525" s="22"/>
      <c r="AF525" s="22"/>
      <c r="AG525" s="22"/>
      <c r="AH525" s="20">
        <f>8.11197+16.8636</f>
        <v>24.97557</v>
      </c>
      <c r="AI525" s="4">
        <v>16.8636</v>
      </c>
      <c r="AJ525" s="22">
        <v>8.11197</v>
      </c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4"/>
      <c r="BA525" s="4"/>
      <c r="BB525" s="4"/>
      <c r="BC525" s="22"/>
      <c r="BD525" s="22"/>
      <c r="BE525" s="22"/>
      <c r="BF525" s="22">
        <f>59.96851-13.0683</f>
        <v>46.90021</v>
      </c>
      <c r="BG525" s="22">
        <f>37.54345-8.2061</f>
        <v>29.33735</v>
      </c>
      <c r="BH525" s="22"/>
      <c r="BI525" s="22"/>
      <c r="BJ525" s="22"/>
      <c r="BK525" s="22"/>
      <c r="BL525" s="22"/>
      <c r="BM525" s="22"/>
      <c r="BN525" s="22"/>
      <c r="BO525" s="4"/>
      <c r="BP525" s="4"/>
      <c r="BQ525" s="4"/>
      <c r="BR525" s="4"/>
      <c r="BS525" s="4"/>
      <c r="BT525" s="22"/>
      <c r="BU525" s="24"/>
    </row>
    <row r="526" spans="1:74" s="71" customFormat="1" ht="73.5" customHeight="1" outlineLevel="2">
      <c r="A526" s="68" t="s">
        <v>319</v>
      </c>
      <c r="B526" s="69" t="s">
        <v>915</v>
      </c>
      <c r="C526" s="39">
        <f t="shared" si="86"/>
        <v>129.60111999999998</v>
      </c>
      <c r="D526" s="1">
        <f t="shared" si="84"/>
        <v>82.69927999999999</v>
      </c>
      <c r="E526" s="1">
        <f t="shared" si="85"/>
        <v>46.90184</v>
      </c>
      <c r="F526" s="22"/>
      <c r="G526" s="22"/>
      <c r="H526" s="22"/>
      <c r="I526" s="22"/>
      <c r="J526" s="22"/>
      <c r="K526" s="22"/>
      <c r="L526" s="22"/>
      <c r="M526" s="22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22">
        <v>36</v>
      </c>
      <c r="AA526" s="22">
        <v>19.116</v>
      </c>
      <c r="AB526" s="23">
        <v>13.42236</v>
      </c>
      <c r="AC526" s="4">
        <v>6.99274</v>
      </c>
      <c r="AD526" s="22"/>
      <c r="AE526" s="22"/>
      <c r="AF526" s="22"/>
      <c r="AG526" s="22"/>
      <c r="AH526" s="20"/>
      <c r="AI526" s="4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4"/>
      <c r="BA526" s="4"/>
      <c r="BB526" s="4"/>
      <c r="BC526" s="22"/>
      <c r="BD526" s="22"/>
      <c r="BE526" s="22"/>
      <c r="BF526" s="22">
        <v>33.27692</v>
      </c>
      <c r="BG526" s="22">
        <v>20.7931</v>
      </c>
      <c r="BH526" s="22"/>
      <c r="BI526" s="22"/>
      <c r="BJ526" s="22"/>
      <c r="BK526" s="22"/>
      <c r="BL526" s="22"/>
      <c r="BM526" s="22"/>
      <c r="BN526" s="22"/>
      <c r="BO526" s="4"/>
      <c r="BP526" s="4"/>
      <c r="BQ526" s="4"/>
      <c r="BR526" s="4"/>
      <c r="BS526" s="4"/>
      <c r="BT526" s="22"/>
      <c r="BU526" s="24"/>
      <c r="BV526" s="70"/>
    </row>
    <row r="527" spans="1:73" ht="73.5" customHeight="1" outlineLevel="2">
      <c r="A527" s="44" t="s">
        <v>319</v>
      </c>
      <c r="B527" s="26" t="s">
        <v>474</v>
      </c>
      <c r="C527" s="39">
        <f t="shared" si="86"/>
        <v>221.47403</v>
      </c>
      <c r="D527" s="1">
        <f t="shared" si="84"/>
        <v>143.45675</v>
      </c>
      <c r="E527" s="1">
        <f t="shared" si="85"/>
        <v>78.01728</v>
      </c>
      <c r="F527" s="22"/>
      <c r="G527" s="22"/>
      <c r="H527" s="22"/>
      <c r="I527" s="22"/>
      <c r="J527" s="22"/>
      <c r="K527" s="22"/>
      <c r="L527" s="22"/>
      <c r="M527" s="22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22"/>
      <c r="AA527" s="22"/>
      <c r="AB527" s="23">
        <v>55.19584</v>
      </c>
      <c r="AC527" s="4">
        <v>22.84295</v>
      </c>
      <c r="AD527" s="22"/>
      <c r="AE527" s="22"/>
      <c r="AF527" s="22"/>
      <c r="AG527" s="22"/>
      <c r="AH527" s="20"/>
      <c r="AI527" s="4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4"/>
      <c r="BA527" s="4"/>
      <c r="BB527" s="4"/>
      <c r="BC527" s="22"/>
      <c r="BD527" s="22"/>
      <c r="BE527" s="22"/>
      <c r="BF527" s="22">
        <v>88.26091</v>
      </c>
      <c r="BG527" s="22">
        <v>55.17433</v>
      </c>
      <c r="BH527" s="22"/>
      <c r="BI527" s="22"/>
      <c r="BJ527" s="22"/>
      <c r="BK527" s="22"/>
      <c r="BL527" s="22"/>
      <c r="BM527" s="22"/>
      <c r="BN527" s="22"/>
      <c r="BO527" s="4"/>
      <c r="BP527" s="4"/>
      <c r="BQ527" s="4"/>
      <c r="BR527" s="4"/>
      <c r="BS527" s="4"/>
      <c r="BT527" s="22"/>
      <c r="BU527" s="24"/>
    </row>
    <row r="528" spans="1:73" ht="73.5" customHeight="1" outlineLevel="2">
      <c r="A528" s="44" t="s">
        <v>319</v>
      </c>
      <c r="B528" s="26" t="s">
        <v>916</v>
      </c>
      <c r="C528" s="39">
        <f t="shared" si="86"/>
        <v>457.86428</v>
      </c>
      <c r="D528" s="1">
        <f t="shared" si="84"/>
        <v>268.1404</v>
      </c>
      <c r="E528" s="1">
        <f t="shared" si="85"/>
        <v>189.72388</v>
      </c>
      <c r="F528" s="22"/>
      <c r="G528" s="22"/>
      <c r="H528" s="22"/>
      <c r="I528" s="22"/>
      <c r="J528" s="22"/>
      <c r="K528" s="22"/>
      <c r="L528" s="22"/>
      <c r="M528" s="22"/>
      <c r="N528" s="4"/>
      <c r="O528" s="4"/>
      <c r="P528" s="4"/>
      <c r="Q528" s="4"/>
      <c r="R528" s="4">
        <v>0.18836</v>
      </c>
      <c r="S528" s="4">
        <v>0.09418</v>
      </c>
      <c r="T528" s="4"/>
      <c r="U528" s="4"/>
      <c r="V528" s="4"/>
      <c r="W528" s="4"/>
      <c r="X528" s="4"/>
      <c r="Y528" s="4"/>
      <c r="Z528" s="22"/>
      <c r="AA528" s="22"/>
      <c r="AB528" s="23">
        <v>124.01864</v>
      </c>
      <c r="AC528" s="4">
        <v>44.28735</v>
      </c>
      <c r="AD528" s="22"/>
      <c r="AE528" s="22"/>
      <c r="AF528" s="22"/>
      <c r="AG528" s="22"/>
      <c r="AH528" s="20">
        <f>21.63192+33.7272</f>
        <v>55.359120000000004</v>
      </c>
      <c r="AI528" s="4">
        <v>33.7272</v>
      </c>
      <c r="AJ528" s="22">
        <v>21.63192</v>
      </c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4"/>
      <c r="BA528" s="4"/>
      <c r="BB528" s="4"/>
      <c r="BC528" s="22"/>
      <c r="BD528" s="22"/>
      <c r="BE528" s="22"/>
      <c r="BF528" s="22">
        <f>169.13655-25.20315</f>
        <v>143.9334</v>
      </c>
      <c r="BG528" s="22">
        <f>105.80925-15.82602</f>
        <v>89.98323</v>
      </c>
      <c r="BH528" s="22"/>
      <c r="BI528" s="22"/>
      <c r="BJ528" s="22"/>
      <c r="BK528" s="22"/>
      <c r="BL528" s="22"/>
      <c r="BM528" s="22"/>
      <c r="BN528" s="22"/>
      <c r="BO528" s="4"/>
      <c r="BP528" s="4"/>
      <c r="BQ528" s="4"/>
      <c r="BR528" s="4"/>
      <c r="BS528" s="4"/>
      <c r="BT528" s="22"/>
      <c r="BU528" s="24"/>
    </row>
    <row r="529" spans="1:73" ht="73.5" customHeight="1" outlineLevel="2">
      <c r="A529" s="44" t="s">
        <v>319</v>
      </c>
      <c r="B529" s="26" t="s">
        <v>917</v>
      </c>
      <c r="C529" s="39">
        <f>D529+E529</f>
        <v>2999.083</v>
      </c>
      <c r="D529" s="1">
        <f t="shared" si="84"/>
        <v>0</v>
      </c>
      <c r="E529" s="1">
        <f t="shared" si="85"/>
        <v>2999.083</v>
      </c>
      <c r="F529" s="22"/>
      <c r="G529" s="22"/>
      <c r="H529" s="22"/>
      <c r="I529" s="22"/>
      <c r="J529" s="22"/>
      <c r="K529" s="22"/>
      <c r="L529" s="22"/>
      <c r="M529" s="22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22"/>
      <c r="AA529" s="22"/>
      <c r="AB529" s="23"/>
      <c r="AC529" s="4"/>
      <c r="AD529" s="22"/>
      <c r="AE529" s="22"/>
      <c r="AF529" s="22"/>
      <c r="AG529" s="22"/>
      <c r="AH529" s="20"/>
      <c r="AI529" s="4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4"/>
      <c r="BA529" s="4"/>
      <c r="BB529" s="4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4"/>
      <c r="BP529" s="4">
        <v>2999.083</v>
      </c>
      <c r="BQ529" s="4"/>
      <c r="BR529" s="4"/>
      <c r="BS529" s="4"/>
      <c r="BT529" s="22"/>
      <c r="BU529" s="24"/>
    </row>
    <row r="530" spans="1:73" ht="73.5" customHeight="1" outlineLevel="2">
      <c r="A530" s="44" t="s">
        <v>319</v>
      </c>
      <c r="B530" s="26" t="s">
        <v>918</v>
      </c>
      <c r="C530" s="39">
        <f>D530+E530</f>
        <v>35.82749</v>
      </c>
      <c r="D530" s="1">
        <f t="shared" si="84"/>
        <v>24.17292</v>
      </c>
      <c r="E530" s="1">
        <f t="shared" si="85"/>
        <v>11.65457</v>
      </c>
      <c r="F530" s="22"/>
      <c r="G530" s="22"/>
      <c r="H530" s="22"/>
      <c r="I530" s="22"/>
      <c r="J530" s="22"/>
      <c r="K530" s="22"/>
      <c r="L530" s="22"/>
      <c r="M530" s="22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22"/>
      <c r="AA530" s="22"/>
      <c r="AB530" s="4">
        <v>24.17292</v>
      </c>
      <c r="AC530" s="4">
        <v>11.65457</v>
      </c>
      <c r="AD530" s="22"/>
      <c r="AE530" s="22"/>
      <c r="AF530" s="22"/>
      <c r="AG530" s="22"/>
      <c r="AH530" s="20"/>
      <c r="AI530" s="4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4"/>
      <c r="BA530" s="4"/>
      <c r="BB530" s="4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4"/>
      <c r="BP530" s="4"/>
      <c r="BQ530" s="4"/>
      <c r="BR530" s="4"/>
      <c r="BS530" s="4"/>
      <c r="BT530" s="22"/>
      <c r="BU530" s="24"/>
    </row>
    <row r="531" spans="1:73" ht="73.5" customHeight="1" outlineLevel="2">
      <c r="A531" s="44" t="s">
        <v>319</v>
      </c>
      <c r="B531" s="26" t="s">
        <v>541</v>
      </c>
      <c r="C531" s="39">
        <f t="shared" si="86"/>
        <v>108.75735</v>
      </c>
      <c r="D531" s="1">
        <f t="shared" si="84"/>
        <v>68.56957</v>
      </c>
      <c r="E531" s="1">
        <f t="shared" si="85"/>
        <v>40.187780000000004</v>
      </c>
      <c r="F531" s="22"/>
      <c r="G531" s="22"/>
      <c r="H531" s="22"/>
      <c r="I531" s="22"/>
      <c r="J531" s="22"/>
      <c r="K531" s="22"/>
      <c r="L531" s="22"/>
      <c r="M531" s="22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22"/>
      <c r="AA531" s="22"/>
      <c r="AB531" s="23">
        <v>22.89425</v>
      </c>
      <c r="AC531" s="4">
        <v>11.65457</v>
      </c>
      <c r="AD531" s="22"/>
      <c r="AE531" s="22"/>
      <c r="AF531" s="22"/>
      <c r="AG531" s="22"/>
      <c r="AH531" s="20"/>
      <c r="AI531" s="4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4"/>
      <c r="BA531" s="4"/>
      <c r="BB531" s="4"/>
      <c r="BC531" s="22"/>
      <c r="BD531" s="22"/>
      <c r="BE531" s="22"/>
      <c r="BF531" s="22">
        <v>45.67532</v>
      </c>
      <c r="BG531" s="22">
        <v>28.53321</v>
      </c>
      <c r="BH531" s="22"/>
      <c r="BI531" s="22"/>
      <c r="BJ531" s="22"/>
      <c r="BK531" s="22"/>
      <c r="BL531" s="22"/>
      <c r="BM531" s="22"/>
      <c r="BN531" s="22"/>
      <c r="BO531" s="4"/>
      <c r="BP531" s="4"/>
      <c r="BQ531" s="4"/>
      <c r="BR531" s="4"/>
      <c r="BS531" s="4"/>
      <c r="BT531" s="22"/>
      <c r="BU531" s="24"/>
    </row>
    <row r="532" spans="1:73" ht="73.5" customHeight="1" outlineLevel="2">
      <c r="A532" s="44" t="s">
        <v>319</v>
      </c>
      <c r="B532" s="26" t="s">
        <v>361</v>
      </c>
      <c r="C532" s="39">
        <f t="shared" si="86"/>
        <v>1800.7896</v>
      </c>
      <c r="D532" s="1">
        <f t="shared" si="84"/>
        <v>0</v>
      </c>
      <c r="E532" s="1">
        <f t="shared" si="85"/>
        <v>1800.7896</v>
      </c>
      <c r="F532" s="22"/>
      <c r="G532" s="22"/>
      <c r="H532" s="22"/>
      <c r="I532" s="22"/>
      <c r="J532" s="22"/>
      <c r="K532" s="22"/>
      <c r="L532" s="22"/>
      <c r="M532" s="22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22"/>
      <c r="AA532" s="22"/>
      <c r="AB532" s="4"/>
      <c r="AC532" s="4"/>
      <c r="AD532" s="22"/>
      <c r="AE532" s="22"/>
      <c r="AF532" s="22"/>
      <c r="AG532" s="22"/>
      <c r="AH532" s="20"/>
      <c r="AI532" s="4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4"/>
      <c r="BA532" s="4"/>
      <c r="BB532" s="4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>
        <v>1800.7896</v>
      </c>
      <c r="BN532" s="22"/>
      <c r="BO532" s="4"/>
      <c r="BP532" s="4"/>
      <c r="BQ532" s="4"/>
      <c r="BR532" s="4"/>
      <c r="BS532" s="4"/>
      <c r="BT532" s="22"/>
      <c r="BU532" s="24"/>
    </row>
    <row r="533" spans="1:73" ht="73.5" customHeight="1" outlineLevel="2">
      <c r="A533" s="44" t="s">
        <v>319</v>
      </c>
      <c r="B533" s="26" t="s">
        <v>232</v>
      </c>
      <c r="C533" s="39">
        <f t="shared" si="86"/>
        <v>3258.619</v>
      </c>
      <c r="D533" s="1">
        <f t="shared" si="84"/>
        <v>0</v>
      </c>
      <c r="E533" s="1">
        <f t="shared" si="85"/>
        <v>3258.619</v>
      </c>
      <c r="F533" s="22"/>
      <c r="G533" s="22"/>
      <c r="H533" s="22"/>
      <c r="I533" s="22"/>
      <c r="J533" s="22"/>
      <c r="K533" s="22"/>
      <c r="L533" s="22"/>
      <c r="M533" s="22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22"/>
      <c r="AA533" s="22"/>
      <c r="AB533" s="4"/>
      <c r="AC533" s="4"/>
      <c r="AD533" s="22"/>
      <c r="AE533" s="22"/>
      <c r="AF533" s="22"/>
      <c r="AG533" s="22"/>
      <c r="AH533" s="20"/>
      <c r="AI533" s="4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4"/>
      <c r="BA533" s="4"/>
      <c r="BB533" s="4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>
        <v>3258.619</v>
      </c>
      <c r="BN533" s="22"/>
      <c r="BO533" s="4"/>
      <c r="BP533" s="4"/>
      <c r="BQ533" s="4"/>
      <c r="BR533" s="4"/>
      <c r="BS533" s="4"/>
      <c r="BT533" s="22"/>
      <c r="BU533" s="24"/>
    </row>
    <row r="534" spans="1:73" ht="73.5" customHeight="1" outlineLevel="2">
      <c r="A534" s="44" t="s">
        <v>319</v>
      </c>
      <c r="B534" s="26" t="s">
        <v>192</v>
      </c>
      <c r="C534" s="39">
        <f t="shared" si="86"/>
        <v>3034.35121</v>
      </c>
      <c r="D534" s="1">
        <f t="shared" si="84"/>
        <v>0</v>
      </c>
      <c r="E534" s="1">
        <f t="shared" si="85"/>
        <v>3034.35121</v>
      </c>
      <c r="F534" s="22"/>
      <c r="G534" s="22"/>
      <c r="H534" s="22"/>
      <c r="I534" s="22"/>
      <c r="J534" s="22"/>
      <c r="K534" s="22"/>
      <c r="L534" s="22"/>
      <c r="M534" s="22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22"/>
      <c r="AA534" s="22"/>
      <c r="AB534" s="4"/>
      <c r="AC534" s="4"/>
      <c r="AD534" s="22"/>
      <c r="AE534" s="22"/>
      <c r="AF534" s="22"/>
      <c r="AG534" s="22"/>
      <c r="AH534" s="20"/>
      <c r="AI534" s="4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4"/>
      <c r="BA534" s="4"/>
      <c r="BB534" s="4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>
        <v>3034.35121</v>
      </c>
      <c r="BN534" s="22"/>
      <c r="BO534" s="4"/>
      <c r="BP534" s="4"/>
      <c r="BQ534" s="4"/>
      <c r="BR534" s="4"/>
      <c r="BS534" s="4"/>
      <c r="BT534" s="22"/>
      <c r="BU534" s="24"/>
    </row>
    <row r="535" spans="1:73" ht="73.5" customHeight="1" outlineLevel="2" thickBot="1">
      <c r="A535" s="46" t="s">
        <v>319</v>
      </c>
      <c r="B535" s="45" t="s">
        <v>320</v>
      </c>
      <c r="C535" s="39">
        <f t="shared" si="86"/>
        <v>12725.70755</v>
      </c>
      <c r="D535" s="1">
        <f t="shared" si="84"/>
        <v>0</v>
      </c>
      <c r="E535" s="1">
        <f t="shared" si="85"/>
        <v>12725.70755</v>
      </c>
      <c r="F535" s="22"/>
      <c r="G535" s="22"/>
      <c r="H535" s="22"/>
      <c r="I535" s="22"/>
      <c r="J535" s="22"/>
      <c r="K535" s="22"/>
      <c r="L535" s="22"/>
      <c r="M535" s="22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22"/>
      <c r="AA535" s="22"/>
      <c r="AB535" s="4"/>
      <c r="AC535" s="4"/>
      <c r="AD535" s="22"/>
      <c r="AE535" s="22"/>
      <c r="AF535" s="22"/>
      <c r="AG535" s="22"/>
      <c r="AH535" s="20">
        <f>141.3+393.88121+576.43845</f>
        <v>1111.6196599999998</v>
      </c>
      <c r="AI535" s="4">
        <v>576.43845</v>
      </c>
      <c r="AJ535" s="22">
        <v>535.18121</v>
      </c>
      <c r="AK535" s="22"/>
      <c r="AL535" s="22">
        <v>4129.12042</v>
      </c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4">
        <v>362.9</v>
      </c>
      <c r="BA535" s="4"/>
      <c r="BB535" s="4"/>
      <c r="BC535" s="22"/>
      <c r="BD535" s="22">
        <v>87.78565</v>
      </c>
      <c r="BE535" s="22">
        <v>5060.58182</v>
      </c>
      <c r="BF535" s="22"/>
      <c r="BG535" s="22">
        <v>1973.7</v>
      </c>
      <c r="BH535" s="22"/>
      <c r="BI535" s="22"/>
      <c r="BJ535" s="22"/>
      <c r="BK535" s="22"/>
      <c r="BL535" s="22"/>
      <c r="BM535" s="22"/>
      <c r="BN535" s="22"/>
      <c r="BO535" s="4"/>
      <c r="BP535" s="4"/>
      <c r="BQ535" s="4"/>
      <c r="BR535" s="4"/>
      <c r="BS535" s="4"/>
      <c r="BT535" s="22"/>
      <c r="BU535" s="24"/>
    </row>
    <row r="536" spans="1:74" s="35" customFormat="1" ht="73.5" customHeight="1" outlineLevel="1" thickBot="1">
      <c r="A536" s="29" t="s">
        <v>308</v>
      </c>
      <c r="B536" s="48"/>
      <c r="C536" s="31">
        <f aca="true" t="shared" si="87" ref="C536:BF536">SUBTOTAL(9,C514:C535)</f>
        <v>34015.92763</v>
      </c>
      <c r="D536" s="31">
        <f t="shared" si="87"/>
        <v>5647.847139999999</v>
      </c>
      <c r="E536" s="31">
        <f t="shared" si="87"/>
        <v>28368.08049</v>
      </c>
      <c r="F536" s="31">
        <f t="shared" si="87"/>
        <v>0</v>
      </c>
      <c r="G536" s="31">
        <f t="shared" si="87"/>
        <v>0</v>
      </c>
      <c r="H536" s="31">
        <f t="shared" si="87"/>
        <v>262.33475</v>
      </c>
      <c r="I536" s="31">
        <f t="shared" si="87"/>
        <v>105.08035</v>
      </c>
      <c r="J536" s="31">
        <f t="shared" si="87"/>
        <v>24.38853</v>
      </c>
      <c r="K536" s="31">
        <f t="shared" si="87"/>
        <v>9.84318</v>
      </c>
      <c r="L536" s="31">
        <f t="shared" si="87"/>
        <v>0</v>
      </c>
      <c r="M536" s="31">
        <f t="shared" si="87"/>
        <v>0</v>
      </c>
      <c r="N536" s="31">
        <f t="shared" si="87"/>
        <v>99.92999</v>
      </c>
      <c r="O536" s="31">
        <f t="shared" si="87"/>
        <v>4.85719</v>
      </c>
      <c r="P536" s="31">
        <f t="shared" si="87"/>
        <v>0</v>
      </c>
      <c r="Q536" s="31">
        <f t="shared" si="87"/>
        <v>0</v>
      </c>
      <c r="R536" s="31">
        <f t="shared" si="87"/>
        <v>32.71287</v>
      </c>
      <c r="S536" s="31">
        <f t="shared" si="87"/>
        <v>16.09599</v>
      </c>
      <c r="T536" s="31">
        <f t="shared" si="87"/>
        <v>0</v>
      </c>
      <c r="U536" s="31">
        <f t="shared" si="87"/>
        <v>0</v>
      </c>
      <c r="V536" s="31">
        <f t="shared" si="87"/>
        <v>0</v>
      </c>
      <c r="W536" s="31">
        <f t="shared" si="87"/>
        <v>0</v>
      </c>
      <c r="X536" s="31">
        <f t="shared" si="87"/>
        <v>0</v>
      </c>
      <c r="Y536" s="31">
        <f t="shared" si="87"/>
        <v>0</v>
      </c>
      <c r="Z536" s="31">
        <f t="shared" si="87"/>
        <v>91.60252</v>
      </c>
      <c r="AA536" s="31">
        <f t="shared" si="87"/>
        <v>175.72949999999997</v>
      </c>
      <c r="AB536" s="31">
        <f t="shared" si="87"/>
        <v>1415.6382300000002</v>
      </c>
      <c r="AC536" s="31">
        <f t="shared" si="87"/>
        <v>566.17884</v>
      </c>
      <c r="AD536" s="31">
        <f t="shared" si="87"/>
        <v>0</v>
      </c>
      <c r="AE536" s="31">
        <f t="shared" si="87"/>
        <v>0</v>
      </c>
      <c r="AF536" s="31">
        <f t="shared" si="87"/>
        <v>0</v>
      </c>
      <c r="AG536" s="31">
        <f t="shared" si="87"/>
        <v>0</v>
      </c>
      <c r="AH536" s="31">
        <f t="shared" si="87"/>
        <v>1662.33108</v>
      </c>
      <c r="AI536" s="31">
        <f t="shared" si="87"/>
        <v>892.38165</v>
      </c>
      <c r="AJ536" s="31">
        <f t="shared" si="87"/>
        <v>769.94943</v>
      </c>
      <c r="AK536" s="31">
        <f t="shared" si="87"/>
        <v>0</v>
      </c>
      <c r="AL536" s="31">
        <f t="shared" si="87"/>
        <v>4129.12042</v>
      </c>
      <c r="AM536" s="31">
        <f t="shared" si="87"/>
        <v>0</v>
      </c>
      <c r="AN536" s="31">
        <f t="shared" si="87"/>
        <v>0</v>
      </c>
      <c r="AO536" s="31">
        <f t="shared" si="87"/>
        <v>0</v>
      </c>
      <c r="AP536" s="31">
        <f t="shared" si="87"/>
        <v>0</v>
      </c>
      <c r="AQ536" s="31">
        <f t="shared" si="87"/>
        <v>0</v>
      </c>
      <c r="AR536" s="31">
        <f t="shared" si="87"/>
        <v>0</v>
      </c>
      <c r="AS536" s="31">
        <f t="shared" si="87"/>
        <v>0</v>
      </c>
      <c r="AT536" s="31">
        <f t="shared" si="87"/>
        <v>0</v>
      </c>
      <c r="AU536" s="31">
        <f t="shared" si="87"/>
        <v>0</v>
      </c>
      <c r="AV536" s="31">
        <f t="shared" si="87"/>
        <v>0</v>
      </c>
      <c r="AW536" s="31">
        <f t="shared" si="87"/>
        <v>0</v>
      </c>
      <c r="AX536" s="31">
        <f t="shared" si="87"/>
        <v>0</v>
      </c>
      <c r="AY536" s="31">
        <f t="shared" si="87"/>
        <v>777.85358</v>
      </c>
      <c r="AZ536" s="31">
        <f t="shared" si="87"/>
        <v>658.84615</v>
      </c>
      <c r="BA536" s="31">
        <f t="shared" si="87"/>
        <v>0</v>
      </c>
      <c r="BB536" s="31">
        <f t="shared" si="87"/>
        <v>0</v>
      </c>
      <c r="BC536" s="31">
        <f t="shared" si="87"/>
        <v>0</v>
      </c>
      <c r="BD536" s="31">
        <f t="shared" si="87"/>
        <v>387.12525000000005</v>
      </c>
      <c r="BE536" s="31">
        <f t="shared" si="87"/>
        <v>5081.39887</v>
      </c>
      <c r="BF536" s="31">
        <f t="shared" si="87"/>
        <v>2943.386669999999</v>
      </c>
      <c r="BG536" s="31">
        <f>SUBTOTAL(9,BG515:BG535)</f>
        <v>3813.23765</v>
      </c>
      <c r="BH536" s="31">
        <f>SUBTOTAL(9,BH515:BH535)</f>
        <v>0</v>
      </c>
      <c r="BI536" s="31">
        <f aca="true" t="shared" si="88" ref="BI536:BT536">SUBTOTAL(9,BI514:BI535)</f>
        <v>0</v>
      </c>
      <c r="BJ536" s="31">
        <f t="shared" si="88"/>
        <v>665.39321</v>
      </c>
      <c r="BK536" s="31">
        <f t="shared" si="88"/>
        <v>0</v>
      </c>
      <c r="BL536" s="31">
        <f t="shared" si="88"/>
        <v>0</v>
      </c>
      <c r="BM536" s="31">
        <f t="shared" si="88"/>
        <v>8093.7598100000005</v>
      </c>
      <c r="BN536" s="31">
        <f t="shared" si="88"/>
        <v>0</v>
      </c>
      <c r="BO536" s="31">
        <f t="shared" si="88"/>
        <v>0</v>
      </c>
      <c r="BP536" s="31">
        <f t="shared" si="88"/>
        <v>2999.083</v>
      </c>
      <c r="BQ536" s="31">
        <f t="shared" si="88"/>
        <v>0</v>
      </c>
      <c r="BR536" s="31">
        <f t="shared" si="88"/>
        <v>0</v>
      </c>
      <c r="BS536" s="32">
        <f t="shared" si="88"/>
        <v>0</v>
      </c>
      <c r="BT536" s="32">
        <f t="shared" si="88"/>
        <v>0</v>
      </c>
      <c r="BU536" s="33"/>
      <c r="BV536" s="34"/>
    </row>
    <row r="537" spans="1:73" ht="73.5" customHeight="1" outlineLevel="2">
      <c r="A537" s="51" t="s">
        <v>309</v>
      </c>
      <c r="B537" s="37" t="s">
        <v>310</v>
      </c>
      <c r="C537" s="39">
        <f>D537+E537</f>
        <v>1294.0077300000003</v>
      </c>
      <c r="D537" s="1">
        <f>F537+J537+N537+R537+T537+Z537+AB537+AD537+AF537+AM537+AO537+AT537+AY537+BF537+BO537+BS537+H537+V537+X537+BQ537+AR537+BH537</f>
        <v>783.0510300000001</v>
      </c>
      <c r="E537" s="1">
        <f>G537+I537+K537+L537+M537+O537+P537+Q537+S537+U537+W537+Y537+AA537+AC537+AE537+AG537+AH537+AK537+AL537+AN537+AP537+AQ537+AS537+AU537+AV537+AW537+AX537+AZ537+BA537+BB537+BC537+BD537+BE537+BG537+BI537+BJ537+BK537+BL537+BM537+BN537+BU537+BP537+BR537+BT537</f>
        <v>510.95670000000007</v>
      </c>
      <c r="F537" s="40"/>
      <c r="G537" s="40"/>
      <c r="H537" s="40"/>
      <c r="I537" s="40"/>
      <c r="J537" s="40"/>
      <c r="K537" s="40"/>
      <c r="L537" s="40"/>
      <c r="M537" s="40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0">
        <v>270</v>
      </c>
      <c r="AA537" s="40">
        <v>143.2485</v>
      </c>
      <c r="AB537" s="42">
        <v>259.82148</v>
      </c>
      <c r="AC537" s="41">
        <v>98.83072</v>
      </c>
      <c r="AD537" s="40"/>
      <c r="AE537" s="40"/>
      <c r="AF537" s="40"/>
      <c r="AG537" s="40"/>
      <c r="AH537" s="43">
        <f>47.77049+41.9928</f>
        <v>89.76329000000001</v>
      </c>
      <c r="AI537" s="41">
        <v>41.9928</v>
      </c>
      <c r="AJ537" s="40">
        <v>47.77049</v>
      </c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1"/>
      <c r="BA537" s="41"/>
      <c r="BB537" s="41"/>
      <c r="BC537" s="40"/>
      <c r="BD537" s="40"/>
      <c r="BE537" s="40">
        <v>20.79344</v>
      </c>
      <c r="BF537" s="40">
        <v>253.22955</v>
      </c>
      <c r="BG537" s="40">
        <v>158.32075</v>
      </c>
      <c r="BH537" s="40"/>
      <c r="BI537" s="40"/>
      <c r="BJ537" s="40"/>
      <c r="BK537" s="40"/>
      <c r="BL537" s="40"/>
      <c r="BM537" s="40"/>
      <c r="BN537" s="40"/>
      <c r="BO537" s="41"/>
      <c r="BP537" s="41"/>
      <c r="BQ537" s="41"/>
      <c r="BR537" s="41"/>
      <c r="BS537" s="4"/>
      <c r="BT537" s="22"/>
      <c r="BU537" s="24"/>
    </row>
    <row r="538" spans="1:73" ht="73.5" customHeight="1" outlineLevel="2">
      <c r="A538" s="44" t="s">
        <v>309</v>
      </c>
      <c r="B538" s="26" t="s">
        <v>803</v>
      </c>
      <c r="C538" s="39">
        <f>D538+E538</f>
        <v>2868.647</v>
      </c>
      <c r="D538" s="1">
        <f>F538+J538+N538+R538+T538+Z538+AB538+AD538+AF538+AM538+AO538+AT538+AY538+BF538+BO538+BS538+H538+V538+X538+BQ538+AR538+BH538</f>
        <v>1500</v>
      </c>
      <c r="E538" s="1">
        <f>G538+I538+K538+L538+M538+O538+P538+Q538+S538+U538+W538+Y538+AA538+AC538+AE538+AG538+AH538+AK538+AL538+AN538+AP538+AQ538+AS538+AU538+AV538+AW538+AX538+AZ538+BA538+BB538+BC538+BD538+BE538+BG538+BI538+BJ538+BK538+BL538+BM538+BN538+BU538+BP538+BR538+BT538</f>
        <v>1368.647</v>
      </c>
      <c r="F538" s="40"/>
      <c r="G538" s="40"/>
      <c r="H538" s="40"/>
      <c r="I538" s="40"/>
      <c r="J538" s="40"/>
      <c r="K538" s="40"/>
      <c r="L538" s="40"/>
      <c r="M538" s="40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0"/>
      <c r="AA538" s="40"/>
      <c r="AB538" s="42"/>
      <c r="AC538" s="41"/>
      <c r="AD538" s="40"/>
      <c r="AE538" s="40"/>
      <c r="AF538" s="40"/>
      <c r="AG538" s="40"/>
      <c r="AH538" s="43"/>
      <c r="AI538" s="41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1"/>
      <c r="BA538" s="41"/>
      <c r="BB538" s="41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1">
        <v>1500</v>
      </c>
      <c r="BP538" s="41">
        <v>1368.647</v>
      </c>
      <c r="BQ538" s="41"/>
      <c r="BR538" s="41"/>
      <c r="BS538" s="4"/>
      <c r="BT538" s="22"/>
      <c r="BU538" s="24"/>
    </row>
    <row r="539" spans="1:73" ht="73.5" customHeight="1" outlineLevel="2">
      <c r="A539" s="44" t="s">
        <v>309</v>
      </c>
      <c r="B539" s="26" t="s">
        <v>565</v>
      </c>
      <c r="C539" s="39">
        <f>D539+E539</f>
        <v>269.18953</v>
      </c>
      <c r="D539" s="1">
        <f>F539+J539+N539+R539+T539+Z539+AB539+AD539+AF539+AM539+AO539+AT539+AY539+BF539+BO539+BS539+H539+V539+X539+BQ539+AR539+BH539</f>
        <v>184.1181</v>
      </c>
      <c r="E539" s="1">
        <f>G539+I539+K539+L539+M539+O539+P539+Q539+S539+U539+W539+Y539+AA539+AC539+AE539+AG539+AH539+AK539+AL539+AN539+AP539+AQ539+AS539+AU539+AV539+AW539+AX539+AZ539+BA539+BB539+BC539+BD539+BE539+BG539+BI539+BJ539+BK539+BL539+BM539+BN539+BU539+BP539+BR539+BT539</f>
        <v>85.07143</v>
      </c>
      <c r="F539" s="22"/>
      <c r="G539" s="22"/>
      <c r="H539" s="22"/>
      <c r="I539" s="22"/>
      <c r="J539" s="22"/>
      <c r="K539" s="22"/>
      <c r="L539" s="22"/>
      <c r="M539" s="22"/>
      <c r="N539" s="4">
        <v>184.1181</v>
      </c>
      <c r="O539" s="4">
        <v>9.69042</v>
      </c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22"/>
      <c r="AA539" s="22"/>
      <c r="AB539" s="23"/>
      <c r="AC539" s="4"/>
      <c r="AD539" s="22"/>
      <c r="AE539" s="22"/>
      <c r="AF539" s="22"/>
      <c r="AG539" s="22"/>
      <c r="AH539" s="20"/>
      <c r="AI539" s="4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4">
        <v>75.38101</v>
      </c>
      <c r="BA539" s="4"/>
      <c r="BB539" s="4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4"/>
      <c r="BP539" s="4"/>
      <c r="BQ539" s="4"/>
      <c r="BR539" s="4"/>
      <c r="BS539" s="4"/>
      <c r="BT539" s="22"/>
      <c r="BU539" s="24"/>
    </row>
    <row r="540" spans="1:73" ht="73.5" customHeight="1" outlineLevel="2" thickBot="1">
      <c r="A540" s="72" t="s">
        <v>309</v>
      </c>
      <c r="B540" s="73" t="s">
        <v>54</v>
      </c>
      <c r="C540" s="39">
        <f>D540+E540</f>
        <v>256.25001</v>
      </c>
      <c r="D540" s="1">
        <f>F540+J540+N540+R540+T540+Z540+AB540+AD540+AF540+AM540+AO540+AT540+AY540+BF540+BO540+BS540+H540+V540+X540+BQ540+AR540+BH540</f>
        <v>33.49006</v>
      </c>
      <c r="E540" s="1">
        <f>G540+I540+K540+L540+M540+O540+P540+Q540+S540+U540+W540+Y540+AA540+AC540+AE540+AG540+AH540+AK540+AL540+AN540+AP540+AQ540+AS540+AU540+AV540+AW540+AX540+AZ540+BA540+BB540+BC540+BD540+BE540+BG540+BI540+BJ540+BK540+BL540+BM540+BN540+BU540+BP540+BR540+BT540</f>
        <v>222.75994999999998</v>
      </c>
      <c r="F540" s="60"/>
      <c r="G540" s="60"/>
      <c r="H540" s="60"/>
      <c r="I540" s="60"/>
      <c r="J540" s="60"/>
      <c r="K540" s="60"/>
      <c r="L540" s="60"/>
      <c r="M540" s="60"/>
      <c r="N540" s="61">
        <v>33.49006</v>
      </c>
      <c r="O540" s="61">
        <f>1.40117</f>
        <v>1.40117</v>
      </c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0"/>
      <c r="AA540" s="60"/>
      <c r="AB540" s="61"/>
      <c r="AC540" s="61"/>
      <c r="AD540" s="60"/>
      <c r="AE540" s="60"/>
      <c r="AF540" s="60"/>
      <c r="AG540" s="60"/>
      <c r="AH540" s="62"/>
      <c r="AI540" s="61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>
        <v>183.04</v>
      </c>
      <c r="AY540" s="60"/>
      <c r="AZ540" s="61">
        <v>20.592</v>
      </c>
      <c r="BA540" s="61"/>
      <c r="BB540" s="61"/>
      <c r="BC540" s="60"/>
      <c r="BD540" s="60"/>
      <c r="BE540" s="60">
        <v>17.72678</v>
      </c>
      <c r="BF540" s="60"/>
      <c r="BG540" s="60"/>
      <c r="BH540" s="60"/>
      <c r="BI540" s="60"/>
      <c r="BJ540" s="60"/>
      <c r="BK540" s="60"/>
      <c r="BL540" s="60"/>
      <c r="BM540" s="60"/>
      <c r="BN540" s="60"/>
      <c r="BO540" s="61"/>
      <c r="BP540" s="61"/>
      <c r="BQ540" s="61"/>
      <c r="BR540" s="61"/>
      <c r="BS540" s="4"/>
      <c r="BT540" s="22"/>
      <c r="BU540" s="24"/>
    </row>
    <row r="541" spans="1:74" s="35" customFormat="1" ht="73.5" customHeight="1" outlineLevel="1" thickBot="1">
      <c r="A541" s="53" t="s">
        <v>311</v>
      </c>
      <c r="B541" s="48"/>
      <c r="C541" s="31">
        <f aca="true" t="shared" si="89" ref="C541:BN541">SUBTOTAL(9,C537:C540)</f>
        <v>4688.09427</v>
      </c>
      <c r="D541" s="31">
        <f t="shared" si="89"/>
        <v>2500.6591900000003</v>
      </c>
      <c r="E541" s="31">
        <f t="shared" si="89"/>
        <v>2187.43508</v>
      </c>
      <c r="F541" s="31">
        <f t="shared" si="89"/>
        <v>0</v>
      </c>
      <c r="G541" s="31">
        <f t="shared" si="89"/>
        <v>0</v>
      </c>
      <c r="H541" s="31">
        <f t="shared" si="89"/>
        <v>0</v>
      </c>
      <c r="I541" s="31">
        <f t="shared" si="89"/>
        <v>0</v>
      </c>
      <c r="J541" s="31">
        <f t="shared" si="89"/>
        <v>0</v>
      </c>
      <c r="K541" s="31">
        <f t="shared" si="89"/>
        <v>0</v>
      </c>
      <c r="L541" s="31">
        <f t="shared" si="89"/>
        <v>0</v>
      </c>
      <c r="M541" s="31">
        <f t="shared" si="89"/>
        <v>0</v>
      </c>
      <c r="N541" s="31">
        <f t="shared" si="89"/>
        <v>217.60816</v>
      </c>
      <c r="O541" s="31">
        <f t="shared" si="89"/>
        <v>11.09159</v>
      </c>
      <c r="P541" s="31">
        <f t="shared" si="89"/>
        <v>0</v>
      </c>
      <c r="Q541" s="31">
        <f t="shared" si="89"/>
        <v>0</v>
      </c>
      <c r="R541" s="31">
        <f t="shared" si="89"/>
        <v>0</v>
      </c>
      <c r="S541" s="31">
        <f t="shared" si="89"/>
        <v>0</v>
      </c>
      <c r="T541" s="31">
        <f t="shared" si="89"/>
        <v>0</v>
      </c>
      <c r="U541" s="31">
        <f t="shared" si="89"/>
        <v>0</v>
      </c>
      <c r="V541" s="31">
        <f t="shared" si="89"/>
        <v>0</v>
      </c>
      <c r="W541" s="31">
        <f t="shared" si="89"/>
        <v>0</v>
      </c>
      <c r="X541" s="31">
        <f t="shared" si="89"/>
        <v>0</v>
      </c>
      <c r="Y541" s="31">
        <f t="shared" si="89"/>
        <v>0</v>
      </c>
      <c r="Z541" s="31">
        <f t="shared" si="89"/>
        <v>270</v>
      </c>
      <c r="AA541" s="31">
        <f t="shared" si="89"/>
        <v>143.2485</v>
      </c>
      <c r="AB541" s="31">
        <f t="shared" si="89"/>
        <v>259.82148</v>
      </c>
      <c r="AC541" s="31">
        <f t="shared" si="89"/>
        <v>98.83072</v>
      </c>
      <c r="AD541" s="31">
        <f t="shared" si="89"/>
        <v>0</v>
      </c>
      <c r="AE541" s="31">
        <f t="shared" si="89"/>
        <v>0</v>
      </c>
      <c r="AF541" s="31">
        <f t="shared" si="89"/>
        <v>0</v>
      </c>
      <c r="AG541" s="31">
        <f t="shared" si="89"/>
        <v>0</v>
      </c>
      <c r="AH541" s="31">
        <f t="shared" si="89"/>
        <v>89.76329000000001</v>
      </c>
      <c r="AI541" s="31">
        <f t="shared" si="89"/>
        <v>41.9928</v>
      </c>
      <c r="AJ541" s="31">
        <f t="shared" si="89"/>
        <v>47.77049</v>
      </c>
      <c r="AK541" s="31">
        <f t="shared" si="89"/>
        <v>0</v>
      </c>
      <c r="AL541" s="31">
        <f t="shared" si="89"/>
        <v>0</v>
      </c>
      <c r="AM541" s="31">
        <f t="shared" si="89"/>
        <v>0</v>
      </c>
      <c r="AN541" s="31">
        <f t="shared" si="89"/>
        <v>0</v>
      </c>
      <c r="AO541" s="31">
        <f>SUBTOTAL(9,AO537:AO540)</f>
        <v>0</v>
      </c>
      <c r="AP541" s="31">
        <f>SUBTOTAL(9,AP537:AP540)</f>
        <v>0</v>
      </c>
      <c r="AQ541" s="31">
        <f t="shared" si="89"/>
        <v>0</v>
      </c>
      <c r="AR541" s="31">
        <f t="shared" si="89"/>
        <v>0</v>
      </c>
      <c r="AS541" s="31">
        <f t="shared" si="89"/>
        <v>0</v>
      </c>
      <c r="AT541" s="31">
        <f t="shared" si="89"/>
        <v>0</v>
      </c>
      <c r="AU541" s="31">
        <f t="shared" si="89"/>
        <v>0</v>
      </c>
      <c r="AV541" s="31">
        <f t="shared" si="89"/>
        <v>0</v>
      </c>
      <c r="AW541" s="31">
        <f t="shared" si="89"/>
        <v>0</v>
      </c>
      <c r="AX541" s="31">
        <f t="shared" si="89"/>
        <v>183.04</v>
      </c>
      <c r="AY541" s="31">
        <f t="shared" si="89"/>
        <v>0</v>
      </c>
      <c r="AZ541" s="31">
        <f t="shared" si="89"/>
        <v>95.97301</v>
      </c>
      <c r="BA541" s="31">
        <f t="shared" si="89"/>
        <v>0</v>
      </c>
      <c r="BB541" s="31">
        <f t="shared" si="89"/>
        <v>0</v>
      </c>
      <c r="BC541" s="31">
        <f t="shared" si="89"/>
        <v>0</v>
      </c>
      <c r="BD541" s="31">
        <f t="shared" si="89"/>
        <v>0</v>
      </c>
      <c r="BE541" s="31">
        <f t="shared" si="89"/>
        <v>38.52022</v>
      </c>
      <c r="BF541" s="31">
        <f t="shared" si="89"/>
        <v>253.22955</v>
      </c>
      <c r="BG541" s="31">
        <f t="shared" si="89"/>
        <v>158.32075</v>
      </c>
      <c r="BH541" s="31">
        <f t="shared" si="89"/>
        <v>0</v>
      </c>
      <c r="BI541" s="31">
        <f t="shared" si="89"/>
        <v>0</v>
      </c>
      <c r="BJ541" s="31">
        <f t="shared" si="89"/>
        <v>0</v>
      </c>
      <c r="BK541" s="31">
        <f t="shared" si="89"/>
        <v>0</v>
      </c>
      <c r="BL541" s="31">
        <f t="shared" si="89"/>
        <v>0</v>
      </c>
      <c r="BM541" s="31">
        <f t="shared" si="89"/>
        <v>0</v>
      </c>
      <c r="BN541" s="31">
        <f t="shared" si="89"/>
        <v>0</v>
      </c>
      <c r="BO541" s="31">
        <f aca="true" t="shared" si="90" ref="BO541:BT541">SUBTOTAL(9,BO537:BO540)</f>
        <v>1500</v>
      </c>
      <c r="BP541" s="31">
        <f t="shared" si="90"/>
        <v>1368.647</v>
      </c>
      <c r="BQ541" s="31">
        <f>SUBTOTAL(9,BQ537:BQ540)</f>
        <v>0</v>
      </c>
      <c r="BR541" s="31">
        <f>SUBTOTAL(9,BR537:BR540)</f>
        <v>0</v>
      </c>
      <c r="BS541" s="32">
        <f t="shared" si="90"/>
        <v>0</v>
      </c>
      <c r="BT541" s="32">
        <f t="shared" si="90"/>
        <v>0</v>
      </c>
      <c r="BU541" s="33"/>
      <c r="BV541" s="34"/>
    </row>
    <row r="542" spans="1:73" ht="73.5" customHeight="1" outlineLevel="2">
      <c r="A542" s="51" t="s">
        <v>312</v>
      </c>
      <c r="B542" s="37" t="s">
        <v>554</v>
      </c>
      <c r="C542" s="39">
        <f>D542+E542</f>
        <v>70586.38623999999</v>
      </c>
      <c r="D542" s="1">
        <f aca="true" t="shared" si="91" ref="D542:D590">F542+J542+N542+R542+T542+Z542+AB542+AD542+AF542+AM542+AO542+AT542+AY542+BF542+BO542+BS542+H542+V542+X542+BQ542+AR542+BH542</f>
        <v>26488.3914</v>
      </c>
      <c r="E542" s="1">
        <f aca="true" t="shared" si="92" ref="E542:E590">G542+I542+K542+L542+M542+O542+P542+Q542+S542+U542+W542+Y542+AA542+AC542+AE542+AG542+AH542+AK542+AL542+AN542+AP542+AQ542+AS542+AU542+AV542+AW542+AX542+AZ542+BA542+BB542+BC542+BD542+BE542+BG542+BI542+BJ542+BK542+BL542+BM542+BN542+BU542+BP542+BR542+BT542</f>
        <v>44097.99484</v>
      </c>
      <c r="F542" s="41"/>
      <c r="G542" s="40"/>
      <c r="H542" s="40">
        <v>56.44599</v>
      </c>
      <c r="I542" s="40">
        <v>14.79125</v>
      </c>
      <c r="J542" s="40">
        <v>226.94484</v>
      </c>
      <c r="K542" s="40">
        <v>117.57698</v>
      </c>
      <c r="L542" s="40">
        <v>4795.72909</v>
      </c>
      <c r="M542" s="40"/>
      <c r="N542" s="40"/>
      <c r="O542" s="40"/>
      <c r="P542" s="40"/>
      <c r="Q542" s="40"/>
      <c r="R542" s="40">
        <v>2450.11897</v>
      </c>
      <c r="S542" s="40">
        <v>2223.99923</v>
      </c>
      <c r="T542" s="40"/>
      <c r="U542" s="40"/>
      <c r="V542" s="40"/>
      <c r="W542" s="40"/>
      <c r="X542" s="40"/>
      <c r="Y542" s="40"/>
      <c r="Z542" s="40">
        <v>1891.40543</v>
      </c>
      <c r="AA542" s="40">
        <v>2062.206</v>
      </c>
      <c r="AB542" s="42">
        <v>3319.83433</v>
      </c>
      <c r="AC542" s="41">
        <v>960.33623</v>
      </c>
      <c r="AD542" s="40"/>
      <c r="AE542" s="40"/>
      <c r="AF542" s="40"/>
      <c r="AG542" s="40"/>
      <c r="AH542" s="43">
        <f>1360.0125+741.9258+77.0832+425.6608+852.28905</f>
        <v>3456.97135</v>
      </c>
      <c r="AI542" s="41">
        <f>425.6608+852.28905</f>
        <v>1277.94985</v>
      </c>
      <c r="AJ542" s="40">
        <v>2179.0215</v>
      </c>
      <c r="AK542" s="40"/>
      <c r="AL542" s="40"/>
      <c r="AM542" s="40"/>
      <c r="AN542" s="40"/>
      <c r="AO542" s="40">
        <v>264.62776</v>
      </c>
      <c r="AP542" s="40">
        <v>121.8</v>
      </c>
      <c r="AQ542" s="40">
        <f>132.25+94</f>
        <v>226.25</v>
      </c>
      <c r="AR542" s="40"/>
      <c r="AS542" s="40"/>
      <c r="AT542" s="40"/>
      <c r="AU542" s="40"/>
      <c r="AV542" s="40"/>
      <c r="AW542" s="40"/>
      <c r="AX542" s="40"/>
      <c r="AY542" s="41">
        <v>10775.32007</v>
      </c>
      <c r="AZ542" s="41">
        <v>4589.72375</v>
      </c>
      <c r="BA542" s="41"/>
      <c r="BB542" s="41"/>
      <c r="BC542" s="40"/>
      <c r="BD542" s="40">
        <f>15372.31178+635.59322</f>
        <v>16007.905</v>
      </c>
      <c r="BE542" s="22">
        <v>4835.29223</v>
      </c>
      <c r="BF542" s="22">
        <v>7503.69401</v>
      </c>
      <c r="BG542" s="40">
        <f>4652.32169+298.50076-265.40872</f>
        <v>4685.413729999999</v>
      </c>
      <c r="BH542" s="40"/>
      <c r="BI542" s="40"/>
      <c r="BJ542" s="40"/>
      <c r="BK542" s="40"/>
      <c r="BL542" s="40"/>
      <c r="BM542" s="40"/>
      <c r="BN542" s="40"/>
      <c r="BO542" s="41"/>
      <c r="BP542" s="41"/>
      <c r="BQ542" s="41"/>
      <c r="BR542" s="41"/>
      <c r="BS542" s="4"/>
      <c r="BT542" s="22"/>
      <c r="BU542" s="24"/>
    </row>
    <row r="543" spans="1:73" ht="73.5" customHeight="1" outlineLevel="2">
      <c r="A543" s="44" t="s">
        <v>312</v>
      </c>
      <c r="B543" s="45" t="s">
        <v>830</v>
      </c>
      <c r="C543" s="39">
        <f aca="true" t="shared" si="93" ref="C543:C590">D543+E543</f>
        <v>97279.90675</v>
      </c>
      <c r="D543" s="1">
        <f t="shared" si="91"/>
        <v>35787.411799999994</v>
      </c>
      <c r="E543" s="1">
        <f t="shared" si="92"/>
        <v>61492.49495</v>
      </c>
      <c r="F543" s="4"/>
      <c r="G543" s="4"/>
      <c r="H543" s="4">
        <v>7440.16209</v>
      </c>
      <c r="I543" s="4">
        <v>4427.58536</v>
      </c>
      <c r="J543" s="22">
        <v>860.01143</v>
      </c>
      <c r="K543" s="22">
        <v>487.86383</v>
      </c>
      <c r="L543" s="22">
        <v>932.47744</v>
      </c>
      <c r="M543" s="22"/>
      <c r="N543" s="22"/>
      <c r="O543" s="22"/>
      <c r="P543" s="22"/>
      <c r="Q543" s="22"/>
      <c r="R543" s="22">
        <v>4644.53424</v>
      </c>
      <c r="S543" s="22">
        <v>3042.48416</v>
      </c>
      <c r="T543" s="22"/>
      <c r="U543" s="22"/>
      <c r="V543" s="22"/>
      <c r="W543" s="22"/>
      <c r="X543" s="22"/>
      <c r="Y543" s="22"/>
      <c r="Z543" s="22"/>
      <c r="AA543" s="22">
        <v>1222.8435</v>
      </c>
      <c r="AB543" s="23">
        <v>8808.94055</v>
      </c>
      <c r="AC543" s="4">
        <v>2047.00796</v>
      </c>
      <c r="AD543" s="22"/>
      <c r="AE543" s="22"/>
      <c r="AF543" s="22"/>
      <c r="AG543" s="22"/>
      <c r="AH543" s="20">
        <f>1077.4125+869.59485+425.6608+758.21705</f>
        <v>3130.8851999999997</v>
      </c>
      <c r="AI543" s="4">
        <v>1183.87785</v>
      </c>
      <c r="AJ543" s="22">
        <v>1947.00735</v>
      </c>
      <c r="AK543" s="22"/>
      <c r="AL543" s="22">
        <v>9121.55103</v>
      </c>
      <c r="AM543" s="22">
        <v>233.90411</v>
      </c>
      <c r="AN543" s="22">
        <v>93.64992</v>
      </c>
      <c r="AO543" s="22">
        <f>200.75209+529.80417</f>
        <v>730.5562600000001</v>
      </c>
      <c r="AP543" s="22">
        <v>268.8</v>
      </c>
      <c r="AQ543" s="22">
        <f>663.5+255.75</f>
        <v>919.25</v>
      </c>
      <c r="AR543" s="22"/>
      <c r="AS543" s="22"/>
      <c r="AT543" s="22"/>
      <c r="AU543" s="22"/>
      <c r="AV543" s="22"/>
      <c r="AW543" s="22"/>
      <c r="AX543" s="22"/>
      <c r="AY543" s="22">
        <v>6557.89497</v>
      </c>
      <c r="AZ543" s="4">
        <v>4688.75514</v>
      </c>
      <c r="BA543" s="4"/>
      <c r="BB543" s="4"/>
      <c r="BC543" s="22"/>
      <c r="BD543" s="22">
        <f>19856.35935+4.16229</f>
        <v>19860.52164</v>
      </c>
      <c r="BE543" s="22">
        <v>5292.98929</v>
      </c>
      <c r="BF543" s="22">
        <v>6511.40815</v>
      </c>
      <c r="BG543" s="22">
        <v>4069.3588</v>
      </c>
      <c r="BH543" s="22"/>
      <c r="BI543" s="22"/>
      <c r="BJ543" s="22">
        <v>1886.47168</v>
      </c>
      <c r="BK543" s="22"/>
      <c r="BL543" s="22"/>
      <c r="BM543" s="22"/>
      <c r="BN543" s="22"/>
      <c r="BO543" s="4"/>
      <c r="BP543" s="4"/>
      <c r="BQ543" s="4"/>
      <c r="BR543" s="4"/>
      <c r="BS543" s="4"/>
      <c r="BT543" s="22"/>
      <c r="BU543" s="24"/>
    </row>
    <row r="544" spans="1:73" ht="73.5" customHeight="1" outlineLevel="2">
      <c r="A544" s="46" t="s">
        <v>312</v>
      </c>
      <c r="B544" s="26" t="s">
        <v>153</v>
      </c>
      <c r="C544" s="39">
        <f t="shared" si="93"/>
        <v>10333.24198</v>
      </c>
      <c r="D544" s="1">
        <f t="shared" si="91"/>
        <v>2688.89338</v>
      </c>
      <c r="E544" s="1">
        <f t="shared" si="92"/>
        <v>7644.3486</v>
      </c>
      <c r="F544" s="22"/>
      <c r="G544" s="22"/>
      <c r="H544" s="22"/>
      <c r="I544" s="22"/>
      <c r="J544" s="22"/>
      <c r="K544" s="22"/>
      <c r="L544" s="22">
        <v>600.57647</v>
      </c>
      <c r="M544" s="22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22">
        <v>38.61286</v>
      </c>
      <c r="AA544" s="22">
        <v>79.65</v>
      </c>
      <c r="AB544" s="23">
        <v>240.48567</v>
      </c>
      <c r="AC544" s="4">
        <v>85.07833</v>
      </c>
      <c r="AD544" s="22"/>
      <c r="AE544" s="22"/>
      <c r="AF544" s="22"/>
      <c r="AG544" s="22"/>
      <c r="AH544" s="20">
        <f>353.25+60.22125+79.8114+99.3211</f>
        <v>592.60375</v>
      </c>
      <c r="AI544" s="4">
        <v>179.1325</v>
      </c>
      <c r="AJ544" s="22">
        <v>413.47125</v>
      </c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>
        <v>1319.29485</v>
      </c>
      <c r="AZ544" s="4">
        <v>668.84232</v>
      </c>
      <c r="BA544" s="4"/>
      <c r="BB544" s="4"/>
      <c r="BC544" s="22"/>
      <c r="BD544" s="22">
        <f>4793.4386+141.8534</f>
        <v>4935.292</v>
      </c>
      <c r="BE544" s="22"/>
      <c r="BF544" s="22">
        <v>1090.5</v>
      </c>
      <c r="BG544" s="22">
        <v>682.30573</v>
      </c>
      <c r="BH544" s="22"/>
      <c r="BI544" s="22"/>
      <c r="BJ544" s="22"/>
      <c r="BK544" s="22"/>
      <c r="BL544" s="22"/>
      <c r="BM544" s="22"/>
      <c r="BN544" s="22"/>
      <c r="BO544" s="4"/>
      <c r="BP544" s="4"/>
      <c r="BQ544" s="4"/>
      <c r="BR544" s="4"/>
      <c r="BS544" s="4"/>
      <c r="BT544" s="22"/>
      <c r="BU544" s="24"/>
    </row>
    <row r="545" spans="1:73" ht="73.5" customHeight="1" outlineLevel="2">
      <c r="A545" s="26" t="s">
        <v>312</v>
      </c>
      <c r="B545" s="27" t="s">
        <v>68</v>
      </c>
      <c r="C545" s="39">
        <f t="shared" si="93"/>
        <v>116.02977999999999</v>
      </c>
      <c r="D545" s="1">
        <f t="shared" si="91"/>
        <v>75.78562</v>
      </c>
      <c r="E545" s="1">
        <f t="shared" si="92"/>
        <v>40.24416</v>
      </c>
      <c r="F545" s="22"/>
      <c r="G545" s="22"/>
      <c r="H545" s="22"/>
      <c r="I545" s="22"/>
      <c r="J545" s="22"/>
      <c r="K545" s="22"/>
      <c r="L545" s="22"/>
      <c r="M545" s="22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22"/>
      <c r="AA545" s="22"/>
      <c r="AB545" s="23">
        <v>32.33837</v>
      </c>
      <c r="AC545" s="4">
        <v>13.05311</v>
      </c>
      <c r="AD545" s="22"/>
      <c r="AE545" s="22"/>
      <c r="AF545" s="22"/>
      <c r="AG545" s="22"/>
      <c r="AH545" s="20"/>
      <c r="AI545" s="4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4"/>
      <c r="BA545" s="4"/>
      <c r="BB545" s="4"/>
      <c r="BC545" s="22"/>
      <c r="BD545" s="22"/>
      <c r="BE545" s="22"/>
      <c r="BF545" s="22">
        <v>43.44725</v>
      </c>
      <c r="BG545" s="22">
        <v>27.19105</v>
      </c>
      <c r="BH545" s="22"/>
      <c r="BI545" s="22"/>
      <c r="BJ545" s="22"/>
      <c r="BK545" s="22"/>
      <c r="BL545" s="22"/>
      <c r="BM545" s="22"/>
      <c r="BN545" s="22"/>
      <c r="BO545" s="4"/>
      <c r="BP545" s="4"/>
      <c r="BQ545" s="4"/>
      <c r="BR545" s="4"/>
      <c r="BS545" s="4"/>
      <c r="BT545" s="22"/>
      <c r="BU545" s="24"/>
    </row>
    <row r="546" spans="1:73" ht="73.5" customHeight="1" outlineLevel="2">
      <c r="A546" s="44" t="s">
        <v>312</v>
      </c>
      <c r="B546" s="26" t="s">
        <v>373</v>
      </c>
      <c r="C546" s="39">
        <f t="shared" si="93"/>
        <v>219.05899</v>
      </c>
      <c r="D546" s="1">
        <f t="shared" si="91"/>
        <v>101.30169</v>
      </c>
      <c r="E546" s="1">
        <f t="shared" si="92"/>
        <v>117.7573</v>
      </c>
      <c r="F546" s="4"/>
      <c r="G546" s="4"/>
      <c r="H546" s="4"/>
      <c r="I546" s="4"/>
      <c r="J546" s="22"/>
      <c r="K546" s="22"/>
      <c r="L546" s="22"/>
      <c r="M546" s="22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22">
        <v>17.37579</v>
      </c>
      <c r="AA546" s="22">
        <v>11.583</v>
      </c>
      <c r="AB546" s="23"/>
      <c r="AC546" s="4"/>
      <c r="AD546" s="22"/>
      <c r="AE546" s="22"/>
      <c r="AF546" s="22"/>
      <c r="AG546" s="22"/>
      <c r="AH546" s="20">
        <f>19.82926+33.7272</f>
        <v>53.55646</v>
      </c>
      <c r="AI546" s="4">
        <v>33.7272</v>
      </c>
      <c r="AJ546" s="22">
        <v>19.82926</v>
      </c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4"/>
      <c r="BA546" s="4"/>
      <c r="BB546" s="4"/>
      <c r="BC546" s="22"/>
      <c r="BD546" s="22"/>
      <c r="BE546" s="22"/>
      <c r="BF546" s="22">
        <v>83.9259</v>
      </c>
      <c r="BG546" s="22">
        <v>52.61784</v>
      </c>
      <c r="BH546" s="22"/>
      <c r="BI546" s="22"/>
      <c r="BJ546" s="22"/>
      <c r="BK546" s="22"/>
      <c r="BL546" s="22"/>
      <c r="BM546" s="22"/>
      <c r="BN546" s="22"/>
      <c r="BO546" s="4"/>
      <c r="BP546" s="4"/>
      <c r="BQ546" s="4"/>
      <c r="BR546" s="4"/>
      <c r="BS546" s="4"/>
      <c r="BT546" s="22"/>
      <c r="BU546" s="24"/>
    </row>
    <row r="547" spans="1:73" ht="73.5" customHeight="1" outlineLevel="2">
      <c r="A547" s="44" t="s">
        <v>312</v>
      </c>
      <c r="B547" s="26" t="s">
        <v>374</v>
      </c>
      <c r="C547" s="39">
        <f t="shared" si="93"/>
        <v>9.441479999999999</v>
      </c>
      <c r="D547" s="1">
        <f t="shared" si="91"/>
        <v>8.69779</v>
      </c>
      <c r="E547" s="1">
        <f t="shared" si="92"/>
        <v>0.74369</v>
      </c>
      <c r="F547" s="22"/>
      <c r="G547" s="22"/>
      <c r="H547" s="22"/>
      <c r="I547" s="22"/>
      <c r="J547" s="22">
        <v>8.69779</v>
      </c>
      <c r="K547" s="22">
        <v>0.74369</v>
      </c>
      <c r="L547" s="22"/>
      <c r="M547" s="22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22"/>
      <c r="AA547" s="22"/>
      <c r="AB547" s="23"/>
      <c r="AC547" s="4"/>
      <c r="AD547" s="22"/>
      <c r="AE547" s="22"/>
      <c r="AF547" s="22"/>
      <c r="AG547" s="22"/>
      <c r="AH547" s="20"/>
      <c r="AI547" s="4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4"/>
      <c r="BA547" s="4"/>
      <c r="BB547" s="4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4"/>
      <c r="BP547" s="4"/>
      <c r="BQ547" s="4"/>
      <c r="BR547" s="4"/>
      <c r="BS547" s="4"/>
      <c r="BT547" s="22"/>
      <c r="BU547" s="24"/>
    </row>
    <row r="548" spans="1:73" ht="73.5" customHeight="1" outlineLevel="2">
      <c r="A548" s="44" t="s">
        <v>312</v>
      </c>
      <c r="B548" s="26" t="s">
        <v>356</v>
      </c>
      <c r="C548" s="39">
        <f t="shared" si="93"/>
        <v>672.84109</v>
      </c>
      <c r="D548" s="1">
        <f t="shared" si="91"/>
        <v>375.51579000000004</v>
      </c>
      <c r="E548" s="1">
        <f t="shared" si="92"/>
        <v>297.32529999999997</v>
      </c>
      <c r="F548" s="22"/>
      <c r="G548" s="22"/>
      <c r="H548" s="22"/>
      <c r="I548" s="22"/>
      <c r="J548" s="22">
        <v>4.02707</v>
      </c>
      <c r="K548" s="22">
        <v>0.87279</v>
      </c>
      <c r="L548" s="22"/>
      <c r="M548" s="22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22"/>
      <c r="AA548" s="22"/>
      <c r="AB548" s="23">
        <v>180.71844</v>
      </c>
      <c r="AC548" s="4">
        <v>65.26557</v>
      </c>
      <c r="AD548" s="22"/>
      <c r="AE548" s="22"/>
      <c r="AF548" s="22"/>
      <c r="AG548" s="22"/>
      <c r="AH548" s="20">
        <f>44.16517+67.4544</f>
        <v>111.61957000000001</v>
      </c>
      <c r="AI548" s="4">
        <v>67.4544</v>
      </c>
      <c r="AJ548" s="22">
        <v>44.16517</v>
      </c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4"/>
      <c r="BA548" s="4"/>
      <c r="BB548" s="4"/>
      <c r="BC548" s="22"/>
      <c r="BD548" s="22"/>
      <c r="BE548" s="22"/>
      <c r="BF548" s="22">
        <v>190.77028</v>
      </c>
      <c r="BG548" s="22">
        <f>21.1942+98.37317</f>
        <v>119.56737</v>
      </c>
      <c r="BH548" s="22"/>
      <c r="BI548" s="22"/>
      <c r="BJ548" s="22"/>
      <c r="BK548" s="22"/>
      <c r="BL548" s="22"/>
      <c r="BM548" s="22"/>
      <c r="BN548" s="22"/>
      <c r="BO548" s="4"/>
      <c r="BP548" s="4"/>
      <c r="BQ548" s="4"/>
      <c r="BR548" s="4"/>
      <c r="BS548" s="4"/>
      <c r="BT548" s="22"/>
      <c r="BU548" s="24"/>
    </row>
    <row r="549" spans="1:73" ht="73.5" customHeight="1" outlineLevel="2">
      <c r="A549" s="44" t="s">
        <v>312</v>
      </c>
      <c r="B549" s="26" t="s">
        <v>110</v>
      </c>
      <c r="C549" s="39">
        <f t="shared" si="93"/>
        <v>446.50071</v>
      </c>
      <c r="D549" s="1">
        <f t="shared" si="91"/>
        <v>244.65996</v>
      </c>
      <c r="E549" s="1">
        <f t="shared" si="92"/>
        <v>201.84075</v>
      </c>
      <c r="F549" s="22"/>
      <c r="G549" s="22"/>
      <c r="H549" s="22"/>
      <c r="I549" s="22"/>
      <c r="J549" s="22"/>
      <c r="K549" s="22"/>
      <c r="L549" s="22"/>
      <c r="M549" s="22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22"/>
      <c r="AA549" s="22">
        <v>3.483</v>
      </c>
      <c r="AB549" s="23">
        <v>110.55</v>
      </c>
      <c r="AC549" s="4">
        <v>41.49025</v>
      </c>
      <c r="AD549" s="22"/>
      <c r="AE549" s="22"/>
      <c r="AF549" s="22"/>
      <c r="AG549" s="22"/>
      <c r="AH549" s="20">
        <f>27.94123+44.9696</f>
        <v>72.91083</v>
      </c>
      <c r="AI549" s="4">
        <v>44.9696</v>
      </c>
      <c r="AJ549" s="22">
        <v>27.94123</v>
      </c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4"/>
      <c r="BA549" s="4"/>
      <c r="BB549" s="4"/>
      <c r="BC549" s="22"/>
      <c r="BD549" s="22"/>
      <c r="BE549" s="22"/>
      <c r="BF549" s="22">
        <v>134.10996</v>
      </c>
      <c r="BG549" s="22">
        <f>42.78003+41.17664</f>
        <v>83.95667</v>
      </c>
      <c r="BH549" s="22"/>
      <c r="BI549" s="22"/>
      <c r="BJ549" s="22"/>
      <c r="BK549" s="22"/>
      <c r="BL549" s="22"/>
      <c r="BM549" s="22"/>
      <c r="BN549" s="22"/>
      <c r="BO549" s="4"/>
      <c r="BP549" s="4"/>
      <c r="BQ549" s="4"/>
      <c r="BR549" s="4"/>
      <c r="BS549" s="4"/>
      <c r="BT549" s="22"/>
      <c r="BU549" s="24"/>
    </row>
    <row r="550" spans="1:73" ht="73.5" customHeight="1" outlineLevel="2">
      <c r="A550" s="44" t="s">
        <v>312</v>
      </c>
      <c r="B550" s="26" t="s">
        <v>15</v>
      </c>
      <c r="C550" s="39">
        <f t="shared" si="93"/>
        <v>487.07506</v>
      </c>
      <c r="D550" s="1">
        <f t="shared" si="91"/>
        <v>126.37941000000001</v>
      </c>
      <c r="E550" s="1">
        <f t="shared" si="92"/>
        <v>360.69565</v>
      </c>
      <c r="F550" s="22"/>
      <c r="G550" s="22"/>
      <c r="H550" s="22"/>
      <c r="I550" s="22"/>
      <c r="J550" s="22"/>
      <c r="K550" s="22"/>
      <c r="L550" s="22"/>
      <c r="M550" s="22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22"/>
      <c r="AA550" s="22"/>
      <c r="AB550" s="23">
        <v>48.71117</v>
      </c>
      <c r="AC550" s="4">
        <v>23.30913</v>
      </c>
      <c r="AD550" s="22"/>
      <c r="AE550" s="22"/>
      <c r="AF550" s="22"/>
      <c r="AG550" s="22"/>
      <c r="AH550" s="20">
        <f>21.67965+22.4848</f>
        <v>44.16445</v>
      </c>
      <c r="AI550" s="4">
        <v>22.4848</v>
      </c>
      <c r="AJ550" s="22">
        <v>21.67965</v>
      </c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4"/>
      <c r="BA550" s="4"/>
      <c r="BB550" s="4"/>
      <c r="BC550" s="22"/>
      <c r="BD550" s="22">
        <v>219.61485</v>
      </c>
      <c r="BE550" s="22">
        <v>24.97494</v>
      </c>
      <c r="BF550" s="22">
        <v>77.66824</v>
      </c>
      <c r="BG550" s="22">
        <f>16.65136+31.98092</f>
        <v>48.63228</v>
      </c>
      <c r="BH550" s="22"/>
      <c r="BI550" s="22"/>
      <c r="BJ550" s="22"/>
      <c r="BK550" s="22"/>
      <c r="BL550" s="22"/>
      <c r="BM550" s="22"/>
      <c r="BN550" s="22"/>
      <c r="BO550" s="4"/>
      <c r="BP550" s="4"/>
      <c r="BQ550" s="4"/>
      <c r="BR550" s="4"/>
      <c r="BS550" s="4"/>
      <c r="BT550" s="22"/>
      <c r="BU550" s="24"/>
    </row>
    <row r="551" spans="1:73" ht="73.5" customHeight="1" outlineLevel="2">
      <c r="A551" s="44" t="s">
        <v>312</v>
      </c>
      <c r="B551" s="26" t="s">
        <v>586</v>
      </c>
      <c r="C551" s="39">
        <f t="shared" si="93"/>
        <v>1539.76935</v>
      </c>
      <c r="D551" s="1">
        <f t="shared" si="91"/>
        <v>0</v>
      </c>
      <c r="E551" s="1">
        <f t="shared" si="92"/>
        <v>1539.76935</v>
      </c>
      <c r="F551" s="22"/>
      <c r="G551" s="22"/>
      <c r="H551" s="22"/>
      <c r="I551" s="22"/>
      <c r="J551" s="22"/>
      <c r="K551" s="22"/>
      <c r="L551" s="22"/>
      <c r="M551" s="22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22"/>
      <c r="AA551" s="22"/>
      <c r="AB551" s="23"/>
      <c r="AC551" s="4"/>
      <c r="AD551" s="22"/>
      <c r="AE551" s="22"/>
      <c r="AF551" s="22"/>
      <c r="AG551" s="22"/>
      <c r="AH551" s="20"/>
      <c r="AI551" s="4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4"/>
      <c r="BA551" s="4"/>
      <c r="BB551" s="4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>
        <v>1539.76935</v>
      </c>
      <c r="BN551" s="22"/>
      <c r="BO551" s="4"/>
      <c r="BP551" s="4"/>
      <c r="BQ551" s="4"/>
      <c r="BR551" s="4"/>
      <c r="BS551" s="4"/>
      <c r="BT551" s="22"/>
      <c r="BU551" s="24"/>
    </row>
    <row r="552" spans="1:73" ht="73.5" customHeight="1" outlineLevel="2">
      <c r="A552" s="44" t="s">
        <v>312</v>
      </c>
      <c r="B552" s="26" t="s">
        <v>198</v>
      </c>
      <c r="C552" s="39">
        <f t="shared" si="93"/>
        <v>1069.85842</v>
      </c>
      <c r="D552" s="1">
        <f t="shared" si="91"/>
        <v>609.0743</v>
      </c>
      <c r="E552" s="1">
        <f t="shared" si="92"/>
        <v>460.78412000000003</v>
      </c>
      <c r="F552" s="22"/>
      <c r="G552" s="22"/>
      <c r="H552" s="22"/>
      <c r="I552" s="22"/>
      <c r="J552" s="22"/>
      <c r="K552" s="22"/>
      <c r="L552" s="22"/>
      <c r="M552" s="22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22"/>
      <c r="AA552" s="22">
        <v>23.8545</v>
      </c>
      <c r="AB552" s="23">
        <v>243.11744</v>
      </c>
      <c r="AC552" s="4">
        <v>75.0554</v>
      </c>
      <c r="AD552" s="22"/>
      <c r="AE552" s="22"/>
      <c r="AF552" s="22"/>
      <c r="AG552" s="22"/>
      <c r="AH552" s="20">
        <f>72.2655+60.7169</f>
        <v>132.9824</v>
      </c>
      <c r="AI552" s="4">
        <v>60.7169</v>
      </c>
      <c r="AJ552" s="22">
        <v>72.2655</v>
      </c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4"/>
      <c r="BA552" s="4"/>
      <c r="BB552" s="4"/>
      <c r="BC552" s="22"/>
      <c r="BD552" s="22"/>
      <c r="BE552" s="22"/>
      <c r="BF552" s="22">
        <v>365.95686</v>
      </c>
      <c r="BG552" s="22">
        <v>228.89182</v>
      </c>
      <c r="BH552" s="22"/>
      <c r="BI552" s="22"/>
      <c r="BJ552" s="22"/>
      <c r="BK552" s="22"/>
      <c r="BL552" s="22"/>
      <c r="BM552" s="22"/>
      <c r="BN552" s="22"/>
      <c r="BO552" s="4"/>
      <c r="BP552" s="4"/>
      <c r="BQ552" s="4"/>
      <c r="BR552" s="4"/>
      <c r="BS552" s="4"/>
      <c r="BT552" s="22"/>
      <c r="BU552" s="24"/>
    </row>
    <row r="553" spans="1:73" ht="73.5" customHeight="1" outlineLevel="2">
      <c r="A553" s="44" t="s">
        <v>312</v>
      </c>
      <c r="B553" s="45" t="s">
        <v>106</v>
      </c>
      <c r="C553" s="39">
        <f t="shared" si="93"/>
        <v>5260.96181</v>
      </c>
      <c r="D553" s="1">
        <f t="shared" si="91"/>
        <v>1878.19747</v>
      </c>
      <c r="E553" s="1">
        <f t="shared" si="92"/>
        <v>3382.7643399999997</v>
      </c>
      <c r="F553" s="4"/>
      <c r="G553" s="4"/>
      <c r="H553" s="4"/>
      <c r="I553" s="4"/>
      <c r="J553" s="22">
        <v>185.32242</v>
      </c>
      <c r="K553" s="22">
        <v>58.37566</v>
      </c>
      <c r="L553" s="22">
        <v>442.6024</v>
      </c>
      <c r="M553" s="22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22">
        <v>144</v>
      </c>
      <c r="AA553" s="22">
        <v>86.265</v>
      </c>
      <c r="AB553" s="23">
        <v>543.88791</v>
      </c>
      <c r="AC553" s="4">
        <v>285.53687</v>
      </c>
      <c r="AD553" s="22"/>
      <c r="AE553" s="22"/>
      <c r="AF553" s="22"/>
      <c r="AG553" s="22"/>
      <c r="AH553" s="20">
        <f>262.56465+223.37945</f>
        <v>485.94409999999993</v>
      </c>
      <c r="AI553" s="4">
        <v>223.37945</v>
      </c>
      <c r="AJ553" s="22">
        <v>262.56465</v>
      </c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4"/>
      <c r="BA553" s="4"/>
      <c r="BB553" s="4"/>
      <c r="BC553" s="22"/>
      <c r="BD553" s="22">
        <f>996.72205+251.14503</f>
        <v>1247.86708</v>
      </c>
      <c r="BE553" s="22">
        <v>146.73767</v>
      </c>
      <c r="BF553" s="22">
        <v>1004.98714</v>
      </c>
      <c r="BG553" s="22">
        <f>585.0799+44.35566</f>
        <v>629.4355599999999</v>
      </c>
      <c r="BH553" s="22"/>
      <c r="BI553" s="22"/>
      <c r="BJ553" s="22"/>
      <c r="BK553" s="22"/>
      <c r="BL553" s="22"/>
      <c r="BM553" s="22"/>
      <c r="BN553" s="22"/>
      <c r="BO553" s="4"/>
      <c r="BP553" s="4"/>
      <c r="BQ553" s="4"/>
      <c r="BR553" s="4"/>
      <c r="BS553" s="4"/>
      <c r="BT553" s="22"/>
      <c r="BU553" s="24"/>
    </row>
    <row r="554" spans="1:73" ht="73.5" customHeight="1" outlineLevel="2">
      <c r="A554" s="46" t="s">
        <v>312</v>
      </c>
      <c r="B554" s="45" t="s">
        <v>107</v>
      </c>
      <c r="C554" s="39">
        <f t="shared" si="93"/>
        <v>4175.14088</v>
      </c>
      <c r="D554" s="1">
        <f t="shared" si="91"/>
        <v>1139.8881199999998</v>
      </c>
      <c r="E554" s="1">
        <f t="shared" si="92"/>
        <v>3035.25276</v>
      </c>
      <c r="F554" s="22"/>
      <c r="G554" s="22"/>
      <c r="H554" s="22"/>
      <c r="I554" s="22"/>
      <c r="J554" s="22"/>
      <c r="K554" s="22"/>
      <c r="L554" s="22"/>
      <c r="M554" s="22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22"/>
      <c r="AA554" s="22"/>
      <c r="AB554" s="23">
        <v>196.79312</v>
      </c>
      <c r="AC554" s="4">
        <v>74.58922</v>
      </c>
      <c r="AD554" s="22"/>
      <c r="AE554" s="22"/>
      <c r="AF554" s="22"/>
      <c r="AG554" s="22"/>
      <c r="AH554" s="20"/>
      <c r="AI554" s="4"/>
      <c r="AJ554" s="22"/>
      <c r="AK554" s="22"/>
      <c r="AL554" s="22"/>
      <c r="AM554" s="22"/>
      <c r="AN554" s="22"/>
      <c r="AO554" s="22">
        <v>768.07228</v>
      </c>
      <c r="AP554" s="22">
        <f>1767.6+669.6</f>
        <v>2437.2</v>
      </c>
      <c r="AQ554" s="22"/>
      <c r="AR554" s="22"/>
      <c r="AS554" s="22"/>
      <c r="AT554" s="22"/>
      <c r="AU554" s="22"/>
      <c r="AV554" s="22"/>
      <c r="AW554" s="22"/>
      <c r="AX554" s="22"/>
      <c r="AY554" s="22"/>
      <c r="AZ554" s="4"/>
      <c r="BA554" s="4"/>
      <c r="BB554" s="4"/>
      <c r="BC554" s="22"/>
      <c r="BD554" s="22"/>
      <c r="BE554" s="22"/>
      <c r="BF554" s="22">
        <f>265.94075-90.91803</f>
        <v>175.02272</v>
      </c>
      <c r="BG554" s="22">
        <f>166.47911-57.09101</f>
        <v>109.3881</v>
      </c>
      <c r="BH554" s="22"/>
      <c r="BI554" s="22"/>
      <c r="BJ554" s="22">
        <v>414.07544</v>
      </c>
      <c r="BK554" s="22"/>
      <c r="BL554" s="22"/>
      <c r="BM554" s="22"/>
      <c r="BN554" s="22"/>
      <c r="BO554" s="4"/>
      <c r="BP554" s="4"/>
      <c r="BQ554" s="4"/>
      <c r="BR554" s="4"/>
      <c r="BS554" s="4"/>
      <c r="BT554" s="22"/>
      <c r="BU554" s="24"/>
    </row>
    <row r="555" spans="1:73" ht="73.5" customHeight="1" outlineLevel="2">
      <c r="A555" s="44" t="s">
        <v>312</v>
      </c>
      <c r="B555" s="45" t="s">
        <v>62</v>
      </c>
      <c r="C555" s="39">
        <f t="shared" si="93"/>
        <v>868.6110000000001</v>
      </c>
      <c r="D555" s="1">
        <f t="shared" si="91"/>
        <v>453.11909</v>
      </c>
      <c r="E555" s="1">
        <f t="shared" si="92"/>
        <v>415.4919100000001</v>
      </c>
      <c r="F555" s="4"/>
      <c r="G555" s="4"/>
      <c r="H555" s="4"/>
      <c r="I555" s="4"/>
      <c r="J555" s="22"/>
      <c r="K555" s="22"/>
      <c r="L555" s="22"/>
      <c r="M555" s="22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22"/>
      <c r="AA555" s="22"/>
      <c r="AB555" s="23">
        <v>217.00826</v>
      </c>
      <c r="AC555" s="4">
        <v>69.9274</v>
      </c>
      <c r="AD555" s="22"/>
      <c r="AE555" s="22"/>
      <c r="AF555" s="22"/>
      <c r="AG555" s="22"/>
      <c r="AH555" s="20">
        <f>62.6301+84.318</f>
        <v>146.9481</v>
      </c>
      <c r="AI555" s="4">
        <v>84.318</v>
      </c>
      <c r="AJ555" s="22">
        <v>62.6301</v>
      </c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4"/>
      <c r="BA555" s="4"/>
      <c r="BB555" s="4"/>
      <c r="BC555" s="22"/>
      <c r="BD555" s="22"/>
      <c r="BE555" s="22">
        <v>50.88347</v>
      </c>
      <c r="BF555" s="22">
        <v>236.11083</v>
      </c>
      <c r="BG555" s="22">
        <v>147.73294</v>
      </c>
      <c r="BH555" s="22"/>
      <c r="BI555" s="22"/>
      <c r="BJ555" s="22"/>
      <c r="BK555" s="22"/>
      <c r="BL555" s="22"/>
      <c r="BM555" s="22"/>
      <c r="BN555" s="22"/>
      <c r="BO555" s="4"/>
      <c r="BP555" s="4"/>
      <c r="BQ555" s="4"/>
      <c r="BR555" s="4"/>
      <c r="BS555" s="4"/>
      <c r="BT555" s="22"/>
      <c r="BU555" s="24"/>
    </row>
    <row r="556" spans="1:73" ht="73.5" customHeight="1" outlineLevel="2">
      <c r="A556" s="44" t="s">
        <v>312</v>
      </c>
      <c r="B556" s="45" t="s">
        <v>262</v>
      </c>
      <c r="C556" s="39">
        <f t="shared" si="93"/>
        <v>230.13764</v>
      </c>
      <c r="D556" s="1">
        <f t="shared" si="91"/>
        <v>39.73638</v>
      </c>
      <c r="E556" s="1">
        <f t="shared" si="92"/>
        <v>190.40126</v>
      </c>
      <c r="F556" s="22"/>
      <c r="G556" s="22"/>
      <c r="H556" s="22"/>
      <c r="I556" s="22"/>
      <c r="J556" s="22"/>
      <c r="K556" s="22"/>
      <c r="L556" s="22"/>
      <c r="M556" s="22"/>
      <c r="N556" s="4">
        <v>3.71174</v>
      </c>
      <c r="O556" s="4">
        <v>0.19356</v>
      </c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22"/>
      <c r="AA556" s="22"/>
      <c r="AB556" s="23">
        <v>6.06454</v>
      </c>
      <c r="AC556" s="4">
        <v>2.33091</v>
      </c>
      <c r="AD556" s="22"/>
      <c r="AE556" s="22"/>
      <c r="AF556" s="22"/>
      <c r="AG556" s="22"/>
      <c r="AH556" s="20"/>
      <c r="AI556" s="4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>
        <v>36</v>
      </c>
      <c r="AX556" s="22">
        <v>133.12</v>
      </c>
      <c r="AY556" s="22"/>
      <c r="AZ556" s="4"/>
      <c r="BA556" s="4"/>
      <c r="BB556" s="4"/>
      <c r="BC556" s="22"/>
      <c r="BD556" s="22"/>
      <c r="BE556" s="22"/>
      <c r="BF556" s="22">
        <v>29.9601</v>
      </c>
      <c r="BG556" s="22">
        <v>18.75679</v>
      </c>
      <c r="BH556" s="22"/>
      <c r="BI556" s="22"/>
      <c r="BJ556" s="22"/>
      <c r="BK556" s="22"/>
      <c r="BL556" s="22"/>
      <c r="BM556" s="22"/>
      <c r="BN556" s="22"/>
      <c r="BO556" s="4"/>
      <c r="BP556" s="4"/>
      <c r="BQ556" s="4"/>
      <c r="BR556" s="4"/>
      <c r="BS556" s="4"/>
      <c r="BT556" s="22"/>
      <c r="BU556" s="24"/>
    </row>
    <row r="557" spans="1:73" ht="73.5" customHeight="1" outlineLevel="2">
      <c r="A557" s="44" t="s">
        <v>312</v>
      </c>
      <c r="B557" s="45" t="s">
        <v>169</v>
      </c>
      <c r="C557" s="39">
        <f t="shared" si="93"/>
        <v>57.55256</v>
      </c>
      <c r="D557" s="1">
        <f t="shared" si="91"/>
        <v>37.62769</v>
      </c>
      <c r="E557" s="1">
        <f t="shared" si="92"/>
        <v>19.92487</v>
      </c>
      <c r="F557" s="22"/>
      <c r="G557" s="22"/>
      <c r="H557" s="22"/>
      <c r="I557" s="22"/>
      <c r="J557" s="22"/>
      <c r="K557" s="22"/>
      <c r="L557" s="22"/>
      <c r="M557" s="22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22"/>
      <c r="AA557" s="22"/>
      <c r="AB557" s="23">
        <v>16.23056</v>
      </c>
      <c r="AC557" s="4">
        <v>6.52656</v>
      </c>
      <c r="AD557" s="22"/>
      <c r="AE557" s="22"/>
      <c r="AF557" s="22"/>
      <c r="AG557" s="22"/>
      <c r="AH557" s="20"/>
      <c r="AI557" s="4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4"/>
      <c r="BA557" s="4"/>
      <c r="BB557" s="4"/>
      <c r="BC557" s="22"/>
      <c r="BD557" s="22"/>
      <c r="BE557" s="22"/>
      <c r="BF557" s="22">
        <v>21.39713</v>
      </c>
      <c r="BG557" s="22">
        <v>13.39831</v>
      </c>
      <c r="BH557" s="22"/>
      <c r="BI557" s="22"/>
      <c r="BJ557" s="22"/>
      <c r="BK557" s="22"/>
      <c r="BL557" s="22"/>
      <c r="BM557" s="22"/>
      <c r="BN557" s="22"/>
      <c r="BO557" s="4"/>
      <c r="BP557" s="4"/>
      <c r="BQ557" s="4"/>
      <c r="BR557" s="4"/>
      <c r="BS557" s="4"/>
      <c r="BT557" s="22"/>
      <c r="BU557" s="24"/>
    </row>
    <row r="558" spans="1:73" ht="73.5" customHeight="1" outlineLevel="2">
      <c r="A558" s="44" t="s">
        <v>312</v>
      </c>
      <c r="B558" s="45" t="s">
        <v>919</v>
      </c>
      <c r="C558" s="39">
        <f t="shared" si="93"/>
        <v>213.85975</v>
      </c>
      <c r="D558" s="1">
        <f t="shared" si="91"/>
        <v>116.79663</v>
      </c>
      <c r="E558" s="1">
        <f t="shared" si="92"/>
        <v>97.06312</v>
      </c>
      <c r="F558" s="22"/>
      <c r="G558" s="22"/>
      <c r="H558" s="22"/>
      <c r="I558" s="22"/>
      <c r="J558" s="22"/>
      <c r="K558" s="22"/>
      <c r="L558" s="22"/>
      <c r="M558" s="22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22">
        <v>5.21274</v>
      </c>
      <c r="AA558" s="22">
        <v>3.483</v>
      </c>
      <c r="AB558" s="23">
        <v>50.53784</v>
      </c>
      <c r="AC558" s="4">
        <v>19.34658</v>
      </c>
      <c r="AD558" s="22"/>
      <c r="AE558" s="22"/>
      <c r="AF558" s="22"/>
      <c r="AG558" s="22"/>
      <c r="AH558" s="20">
        <f>13.51995+22.4848</f>
        <v>36.00475</v>
      </c>
      <c r="AI558" s="4">
        <v>22.4848</v>
      </c>
      <c r="AJ558" s="22">
        <v>13.51995</v>
      </c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4"/>
      <c r="BA558" s="4"/>
      <c r="BB558" s="4"/>
      <c r="BC558" s="22"/>
      <c r="BD558" s="22"/>
      <c r="BE558" s="22"/>
      <c r="BF558" s="22">
        <v>61.04605</v>
      </c>
      <c r="BG558" s="22">
        <v>38.22879</v>
      </c>
      <c r="BH558" s="22"/>
      <c r="BI558" s="22"/>
      <c r="BJ558" s="22"/>
      <c r="BK558" s="22"/>
      <c r="BL558" s="22"/>
      <c r="BM558" s="22"/>
      <c r="BN558" s="22"/>
      <c r="BO558" s="4"/>
      <c r="BP558" s="4"/>
      <c r="BQ558" s="4"/>
      <c r="BR558" s="4"/>
      <c r="BS558" s="4"/>
      <c r="BT558" s="22"/>
      <c r="BU558" s="24"/>
    </row>
    <row r="559" spans="1:73" ht="73.5" customHeight="1" outlineLevel="2">
      <c r="A559" s="44" t="s">
        <v>312</v>
      </c>
      <c r="B559" s="45" t="s">
        <v>920</v>
      </c>
      <c r="C559" s="39">
        <f t="shared" si="93"/>
        <v>1007.1670499999999</v>
      </c>
      <c r="D559" s="1">
        <f t="shared" si="91"/>
        <v>478.25672999999995</v>
      </c>
      <c r="E559" s="1">
        <f t="shared" si="92"/>
        <v>528.91032</v>
      </c>
      <c r="F559" s="22"/>
      <c r="G559" s="22"/>
      <c r="H559" s="22"/>
      <c r="I559" s="22"/>
      <c r="J559" s="22"/>
      <c r="K559" s="22"/>
      <c r="L559" s="22"/>
      <c r="M559" s="22"/>
      <c r="N559" s="4">
        <f>2.28058+9.83272</f>
        <v>12.1133</v>
      </c>
      <c r="O559" s="4">
        <f>0.1145+0.4945</f>
        <v>0.609</v>
      </c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22"/>
      <c r="AA559" s="22"/>
      <c r="AB559" s="23">
        <v>251.47141</v>
      </c>
      <c r="AC559" s="4">
        <v>81.58196</v>
      </c>
      <c r="AD559" s="22"/>
      <c r="AE559" s="22"/>
      <c r="AF559" s="22"/>
      <c r="AG559" s="22"/>
      <c r="AH559" s="20">
        <f>55.40355+56.212</f>
        <v>111.61555000000001</v>
      </c>
      <c r="AI559" s="4">
        <v>56.212</v>
      </c>
      <c r="AJ559" s="22">
        <v>55.40355</v>
      </c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4"/>
      <c r="BA559" s="4"/>
      <c r="BB559" s="4"/>
      <c r="BC559" s="22"/>
      <c r="BD559" s="22"/>
      <c r="BE559" s="22"/>
      <c r="BF559" s="22">
        <v>214.67202</v>
      </c>
      <c r="BG559" s="22">
        <f>21.02311+113.37454</f>
        <v>134.39765</v>
      </c>
      <c r="BH559" s="22"/>
      <c r="BI559" s="22"/>
      <c r="BJ559" s="22">
        <v>200.70616</v>
      </c>
      <c r="BK559" s="22"/>
      <c r="BL559" s="22"/>
      <c r="BM559" s="22"/>
      <c r="BN559" s="22"/>
      <c r="BO559" s="4"/>
      <c r="BP559" s="4"/>
      <c r="BQ559" s="4"/>
      <c r="BR559" s="4"/>
      <c r="BS559" s="4"/>
      <c r="BT559" s="22"/>
      <c r="BU559" s="24"/>
    </row>
    <row r="560" spans="1:73" ht="73.5" customHeight="1" outlineLevel="2">
      <c r="A560" s="44" t="s">
        <v>312</v>
      </c>
      <c r="B560" s="45" t="s">
        <v>921</v>
      </c>
      <c r="C560" s="39">
        <f t="shared" si="93"/>
        <v>101.63139000000001</v>
      </c>
      <c r="D560" s="1">
        <f t="shared" si="91"/>
        <v>55.07007</v>
      </c>
      <c r="E560" s="1">
        <f t="shared" si="92"/>
        <v>46.56132</v>
      </c>
      <c r="F560" s="22"/>
      <c r="G560" s="22"/>
      <c r="H560" s="22"/>
      <c r="I560" s="22"/>
      <c r="J560" s="22"/>
      <c r="K560" s="22"/>
      <c r="L560" s="22"/>
      <c r="M560" s="22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22">
        <v>3.47516</v>
      </c>
      <c r="AA560" s="22">
        <v>2.3085</v>
      </c>
      <c r="AB560" s="23">
        <v>23.44225</v>
      </c>
      <c r="AC560" s="4">
        <v>8.1582</v>
      </c>
      <c r="AD560" s="22"/>
      <c r="AE560" s="22"/>
      <c r="AF560" s="22"/>
      <c r="AG560" s="22"/>
      <c r="AH560" s="20">
        <f>7.22655+11.2424</f>
        <v>18.46895</v>
      </c>
      <c r="AI560" s="4">
        <v>11.2424</v>
      </c>
      <c r="AJ560" s="22">
        <v>7.22655</v>
      </c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4"/>
      <c r="BA560" s="4"/>
      <c r="BB560" s="4"/>
      <c r="BC560" s="22"/>
      <c r="BD560" s="22"/>
      <c r="BE560" s="22"/>
      <c r="BF560" s="22">
        <v>28.15266</v>
      </c>
      <c r="BG560" s="22">
        <v>17.62567</v>
      </c>
      <c r="BH560" s="22"/>
      <c r="BI560" s="22"/>
      <c r="BJ560" s="22"/>
      <c r="BK560" s="22"/>
      <c r="BL560" s="22"/>
      <c r="BM560" s="22"/>
      <c r="BN560" s="22"/>
      <c r="BO560" s="4"/>
      <c r="BP560" s="4"/>
      <c r="BQ560" s="4"/>
      <c r="BR560" s="4"/>
      <c r="BS560" s="4"/>
      <c r="BT560" s="22"/>
      <c r="BU560" s="24"/>
    </row>
    <row r="561" spans="1:73" ht="73.5" customHeight="1" outlineLevel="2">
      <c r="A561" s="44" t="s">
        <v>312</v>
      </c>
      <c r="B561" s="45" t="s">
        <v>922</v>
      </c>
      <c r="C561" s="39">
        <f t="shared" si="93"/>
        <v>73.29353</v>
      </c>
      <c r="D561" s="1">
        <f t="shared" si="91"/>
        <v>48.55878</v>
      </c>
      <c r="E561" s="1">
        <f t="shared" si="92"/>
        <v>24.73475</v>
      </c>
      <c r="F561" s="22"/>
      <c r="G561" s="22"/>
      <c r="H561" s="22"/>
      <c r="I561" s="22"/>
      <c r="J561" s="22"/>
      <c r="K561" s="22"/>
      <c r="L561" s="22"/>
      <c r="M561" s="22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22"/>
      <c r="AA561" s="22"/>
      <c r="AB561" s="23">
        <v>21.31503</v>
      </c>
      <c r="AC561" s="4">
        <v>7.69201</v>
      </c>
      <c r="AD561" s="22"/>
      <c r="AE561" s="22"/>
      <c r="AF561" s="22"/>
      <c r="AG561" s="22"/>
      <c r="AH561" s="20"/>
      <c r="AI561" s="4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4"/>
      <c r="BA561" s="4"/>
      <c r="BB561" s="4"/>
      <c r="BC561" s="22"/>
      <c r="BD561" s="22"/>
      <c r="BE561" s="22"/>
      <c r="BF561" s="22">
        <v>27.24375</v>
      </c>
      <c r="BG561" s="22">
        <v>17.04274</v>
      </c>
      <c r="BH561" s="22"/>
      <c r="BI561" s="22"/>
      <c r="BJ561" s="22"/>
      <c r="BK561" s="22"/>
      <c r="BL561" s="22"/>
      <c r="BM561" s="22"/>
      <c r="BN561" s="22"/>
      <c r="BO561" s="4"/>
      <c r="BP561" s="4"/>
      <c r="BQ561" s="4"/>
      <c r="BR561" s="4"/>
      <c r="BS561" s="4"/>
      <c r="BT561" s="22"/>
      <c r="BU561" s="24"/>
    </row>
    <row r="562" spans="1:73" ht="73.5" customHeight="1" outlineLevel="2">
      <c r="A562" s="44" t="s">
        <v>312</v>
      </c>
      <c r="B562" s="45" t="s">
        <v>923</v>
      </c>
      <c r="C562" s="39">
        <f t="shared" si="93"/>
        <v>2787.1471899999997</v>
      </c>
      <c r="D562" s="1">
        <f t="shared" si="91"/>
        <v>1442.17947</v>
      </c>
      <c r="E562" s="1">
        <f t="shared" si="92"/>
        <v>1344.9677199999999</v>
      </c>
      <c r="F562" s="22"/>
      <c r="G562" s="22"/>
      <c r="H562" s="22"/>
      <c r="I562" s="22"/>
      <c r="J562" s="22"/>
      <c r="K562" s="22"/>
      <c r="L562" s="22"/>
      <c r="M562" s="22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22"/>
      <c r="AA562" s="22"/>
      <c r="AB562" s="23"/>
      <c r="AC562" s="4"/>
      <c r="AD562" s="22"/>
      <c r="AE562" s="22"/>
      <c r="AF562" s="22"/>
      <c r="AG562" s="22"/>
      <c r="AH562" s="20"/>
      <c r="AI562" s="4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4"/>
      <c r="BA562" s="4"/>
      <c r="BB562" s="4"/>
      <c r="BC562" s="22"/>
      <c r="BD562" s="22"/>
      <c r="BE562" s="22"/>
      <c r="BF562" s="22">
        <v>20.93886</v>
      </c>
      <c r="BG562" s="22">
        <v>13.15833</v>
      </c>
      <c r="BH562" s="22"/>
      <c r="BI562" s="22"/>
      <c r="BJ562" s="22"/>
      <c r="BK562" s="22"/>
      <c r="BL562" s="22"/>
      <c r="BM562" s="22"/>
      <c r="BN562" s="22"/>
      <c r="BO562" s="4">
        <v>1421.24061</v>
      </c>
      <c r="BP562" s="4">
        <v>1331.80939</v>
      </c>
      <c r="BQ562" s="4"/>
      <c r="BR562" s="4"/>
      <c r="BS562" s="4"/>
      <c r="BT562" s="22"/>
      <c r="BU562" s="24"/>
    </row>
    <row r="563" spans="1:73" ht="73.5" customHeight="1" outlineLevel="2">
      <c r="A563" s="44" t="s">
        <v>312</v>
      </c>
      <c r="B563" s="45" t="s">
        <v>924</v>
      </c>
      <c r="C563" s="39">
        <f>D563+E563</f>
        <v>2970</v>
      </c>
      <c r="D563" s="1">
        <f t="shared" si="91"/>
        <v>1500</v>
      </c>
      <c r="E563" s="1">
        <f t="shared" si="92"/>
        <v>1470</v>
      </c>
      <c r="F563" s="22"/>
      <c r="G563" s="22"/>
      <c r="H563" s="22"/>
      <c r="I563" s="22"/>
      <c r="J563" s="22"/>
      <c r="K563" s="22"/>
      <c r="L563" s="22"/>
      <c r="M563" s="22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22"/>
      <c r="AA563" s="22"/>
      <c r="AB563" s="23"/>
      <c r="AC563" s="4"/>
      <c r="AD563" s="22"/>
      <c r="AE563" s="22"/>
      <c r="AF563" s="22"/>
      <c r="AG563" s="22"/>
      <c r="AH563" s="20"/>
      <c r="AI563" s="4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4"/>
      <c r="BA563" s="4"/>
      <c r="BB563" s="4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4">
        <v>1500</v>
      </c>
      <c r="BP563" s="4">
        <v>1470</v>
      </c>
      <c r="BQ563" s="4"/>
      <c r="BR563" s="4"/>
      <c r="BS563" s="4"/>
      <c r="BT563" s="22"/>
      <c r="BU563" s="24"/>
    </row>
    <row r="564" spans="1:73" ht="73.5" customHeight="1" outlineLevel="2">
      <c r="A564" s="44" t="s">
        <v>312</v>
      </c>
      <c r="B564" s="45" t="s">
        <v>925</v>
      </c>
      <c r="C564" s="39">
        <f t="shared" si="93"/>
        <v>457.44415000000004</v>
      </c>
      <c r="D564" s="1">
        <f t="shared" si="91"/>
        <v>278.90596000000005</v>
      </c>
      <c r="E564" s="1">
        <f t="shared" si="92"/>
        <v>178.53819</v>
      </c>
      <c r="F564" s="22"/>
      <c r="G564" s="22"/>
      <c r="H564" s="22"/>
      <c r="I564" s="22"/>
      <c r="J564" s="22"/>
      <c r="K564" s="22"/>
      <c r="L564" s="22"/>
      <c r="M564" s="22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22"/>
      <c r="AA564" s="22"/>
      <c r="AB564" s="23">
        <v>149.27538</v>
      </c>
      <c r="AC564" s="4">
        <v>52.91173</v>
      </c>
      <c r="AD564" s="22"/>
      <c r="AE564" s="22"/>
      <c r="AF564" s="22"/>
      <c r="AG564" s="22"/>
      <c r="AH564" s="20">
        <f>21.67965+22.4848</f>
        <v>44.16445</v>
      </c>
      <c r="AI564" s="4">
        <v>22.4848</v>
      </c>
      <c r="AJ564" s="22">
        <v>21.67965</v>
      </c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4"/>
      <c r="BA564" s="4"/>
      <c r="BB564" s="4"/>
      <c r="BC564" s="22"/>
      <c r="BD564" s="22"/>
      <c r="BE564" s="22"/>
      <c r="BF564" s="22">
        <v>129.63058</v>
      </c>
      <c r="BG564" s="22">
        <v>81.46201</v>
      </c>
      <c r="BH564" s="22"/>
      <c r="BI564" s="22"/>
      <c r="BJ564" s="22"/>
      <c r="BK564" s="22"/>
      <c r="BL564" s="22"/>
      <c r="BM564" s="22"/>
      <c r="BN564" s="22"/>
      <c r="BO564" s="4"/>
      <c r="BP564" s="4"/>
      <c r="BQ564" s="4"/>
      <c r="BR564" s="4"/>
      <c r="BS564" s="4"/>
      <c r="BT564" s="22"/>
      <c r="BU564" s="24"/>
    </row>
    <row r="565" spans="1:73" ht="73.5" customHeight="1" outlineLevel="2">
      <c r="A565" s="44" t="s">
        <v>312</v>
      </c>
      <c r="B565" s="45" t="s">
        <v>926</v>
      </c>
      <c r="C565" s="39">
        <f t="shared" si="93"/>
        <v>97.0207</v>
      </c>
      <c r="D565" s="1">
        <f t="shared" si="91"/>
        <v>52.365030000000004</v>
      </c>
      <c r="E565" s="1">
        <f t="shared" si="92"/>
        <v>44.65567</v>
      </c>
      <c r="F565" s="22"/>
      <c r="G565" s="22"/>
      <c r="H565" s="22"/>
      <c r="I565" s="22"/>
      <c r="J565" s="22"/>
      <c r="K565" s="22"/>
      <c r="L565" s="22"/>
      <c r="M565" s="22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22">
        <v>1.73758</v>
      </c>
      <c r="AA565" s="22">
        <v>1.1745</v>
      </c>
      <c r="AB565" s="23">
        <v>23.69798</v>
      </c>
      <c r="AC565" s="4">
        <v>8.1582</v>
      </c>
      <c r="AD565" s="22"/>
      <c r="AE565" s="22"/>
      <c r="AF565" s="22"/>
      <c r="AG565" s="22"/>
      <c r="AH565" s="20">
        <f>7.22655+11.2424</f>
        <v>18.46895</v>
      </c>
      <c r="AI565" s="4">
        <v>11.2424</v>
      </c>
      <c r="AJ565" s="22">
        <v>7.22655</v>
      </c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4"/>
      <c r="BA565" s="4"/>
      <c r="BB565" s="4"/>
      <c r="BC565" s="22"/>
      <c r="BD565" s="22"/>
      <c r="BE565" s="22"/>
      <c r="BF565" s="22">
        <v>26.92947</v>
      </c>
      <c r="BG565" s="22">
        <v>16.85402</v>
      </c>
      <c r="BH565" s="22"/>
      <c r="BI565" s="22"/>
      <c r="BJ565" s="22"/>
      <c r="BK565" s="22"/>
      <c r="BL565" s="22"/>
      <c r="BM565" s="22"/>
      <c r="BN565" s="22"/>
      <c r="BO565" s="4"/>
      <c r="BP565" s="4"/>
      <c r="BQ565" s="4"/>
      <c r="BR565" s="4"/>
      <c r="BS565" s="4"/>
      <c r="BT565" s="22"/>
      <c r="BU565" s="24"/>
    </row>
    <row r="566" spans="1:73" ht="73.5" customHeight="1" outlineLevel="2">
      <c r="A566" s="44" t="s">
        <v>312</v>
      </c>
      <c r="B566" s="45" t="s">
        <v>927</v>
      </c>
      <c r="C566" s="39">
        <f t="shared" si="93"/>
        <v>220.01119</v>
      </c>
      <c r="D566" s="1">
        <f t="shared" si="91"/>
        <v>137.32185</v>
      </c>
      <c r="E566" s="1">
        <f t="shared" si="92"/>
        <v>82.68933999999999</v>
      </c>
      <c r="F566" s="22"/>
      <c r="G566" s="22"/>
      <c r="H566" s="22"/>
      <c r="I566" s="22"/>
      <c r="J566" s="22"/>
      <c r="K566" s="22"/>
      <c r="L566" s="22"/>
      <c r="M566" s="22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22"/>
      <c r="AA566" s="22"/>
      <c r="AB566" s="23">
        <v>67.33101</v>
      </c>
      <c r="AC566" s="4">
        <v>22.60986</v>
      </c>
      <c r="AD566" s="22"/>
      <c r="AE566" s="22"/>
      <c r="AF566" s="22"/>
      <c r="AG566" s="22"/>
      <c r="AH566" s="20">
        <v>16.22394</v>
      </c>
      <c r="AI566" s="4"/>
      <c r="AJ566" s="20">
        <v>16.22394</v>
      </c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4"/>
      <c r="BA566" s="4"/>
      <c r="BB566" s="4"/>
      <c r="BC566" s="22"/>
      <c r="BD566" s="22"/>
      <c r="BE566" s="22"/>
      <c r="BF566" s="22">
        <v>69.99084</v>
      </c>
      <c r="BG566" s="22">
        <v>43.85554</v>
      </c>
      <c r="BH566" s="22"/>
      <c r="BI566" s="22"/>
      <c r="BJ566" s="22"/>
      <c r="BK566" s="22"/>
      <c r="BL566" s="22"/>
      <c r="BM566" s="22"/>
      <c r="BN566" s="22"/>
      <c r="BO566" s="4"/>
      <c r="BP566" s="4"/>
      <c r="BQ566" s="4"/>
      <c r="BR566" s="4"/>
      <c r="BS566" s="4"/>
      <c r="BT566" s="22"/>
      <c r="BU566" s="24"/>
    </row>
    <row r="567" spans="1:73" ht="73.5" customHeight="1" outlineLevel="2">
      <c r="A567" s="44" t="s">
        <v>312</v>
      </c>
      <c r="B567" s="45" t="s">
        <v>928</v>
      </c>
      <c r="C567" s="39">
        <f>D567+E567</f>
        <v>3000</v>
      </c>
      <c r="D567" s="1">
        <f t="shared" si="91"/>
        <v>0</v>
      </c>
      <c r="E567" s="1">
        <f t="shared" si="92"/>
        <v>3000</v>
      </c>
      <c r="F567" s="22"/>
      <c r="G567" s="22"/>
      <c r="H567" s="22"/>
      <c r="I567" s="22"/>
      <c r="J567" s="22"/>
      <c r="K567" s="22"/>
      <c r="L567" s="22"/>
      <c r="M567" s="22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22"/>
      <c r="AA567" s="22"/>
      <c r="AB567" s="23"/>
      <c r="AC567" s="4"/>
      <c r="AD567" s="22"/>
      <c r="AE567" s="22"/>
      <c r="AF567" s="22"/>
      <c r="AG567" s="22"/>
      <c r="AH567" s="20"/>
      <c r="AI567" s="4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4"/>
      <c r="BA567" s="4"/>
      <c r="BB567" s="4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4"/>
      <c r="BP567" s="4">
        <v>3000</v>
      </c>
      <c r="BQ567" s="4"/>
      <c r="BR567" s="4"/>
      <c r="BS567" s="4"/>
      <c r="BT567" s="22"/>
      <c r="BU567" s="24"/>
    </row>
    <row r="568" spans="1:73" ht="73.5" customHeight="1" outlineLevel="2">
      <c r="A568" s="44" t="s">
        <v>312</v>
      </c>
      <c r="B568" s="45" t="s">
        <v>929</v>
      </c>
      <c r="C568" s="39">
        <f t="shared" si="93"/>
        <v>115.82058</v>
      </c>
      <c r="D568" s="1">
        <f t="shared" si="91"/>
        <v>71.18728</v>
      </c>
      <c r="E568" s="1">
        <f t="shared" si="92"/>
        <v>44.6333</v>
      </c>
      <c r="F568" s="22"/>
      <c r="G568" s="22"/>
      <c r="H568" s="22"/>
      <c r="I568" s="22"/>
      <c r="J568" s="22"/>
      <c r="K568" s="22"/>
      <c r="L568" s="22"/>
      <c r="M568" s="22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22"/>
      <c r="AA568" s="22"/>
      <c r="AB568" s="23"/>
      <c r="AC568" s="4"/>
      <c r="AD568" s="22"/>
      <c r="AE568" s="22"/>
      <c r="AF568" s="22"/>
      <c r="AG568" s="22"/>
      <c r="AH568" s="20"/>
      <c r="AI568" s="4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4"/>
      <c r="BA568" s="4"/>
      <c r="BB568" s="4"/>
      <c r="BC568" s="22"/>
      <c r="BD568" s="22"/>
      <c r="BE568" s="22"/>
      <c r="BF568" s="22">
        <v>71.18728</v>
      </c>
      <c r="BG568" s="22">
        <v>44.6333</v>
      </c>
      <c r="BH568" s="22"/>
      <c r="BI568" s="22"/>
      <c r="BJ568" s="22"/>
      <c r="BK568" s="22"/>
      <c r="BL568" s="22"/>
      <c r="BM568" s="22"/>
      <c r="BN568" s="22"/>
      <c r="BO568" s="4"/>
      <c r="BP568" s="4"/>
      <c r="BQ568" s="4"/>
      <c r="BR568" s="4"/>
      <c r="BS568" s="4"/>
      <c r="BT568" s="22"/>
      <c r="BU568" s="24"/>
    </row>
    <row r="569" spans="1:73" ht="73.5" customHeight="1" outlineLevel="2">
      <c r="A569" s="44" t="s">
        <v>312</v>
      </c>
      <c r="B569" s="45" t="s">
        <v>930</v>
      </c>
      <c r="C569" s="39">
        <f t="shared" si="93"/>
        <v>93.70272</v>
      </c>
      <c r="D569" s="1">
        <f t="shared" si="91"/>
        <v>59.32946999999999</v>
      </c>
      <c r="E569" s="1">
        <f t="shared" si="92"/>
        <v>34.37325</v>
      </c>
      <c r="F569" s="22"/>
      <c r="G569" s="22"/>
      <c r="H569" s="22"/>
      <c r="I569" s="22"/>
      <c r="J569" s="22"/>
      <c r="K569" s="22"/>
      <c r="L569" s="22"/>
      <c r="M569" s="22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22"/>
      <c r="AA569" s="22"/>
      <c r="AB569" s="23">
        <v>24.91576</v>
      </c>
      <c r="AC569" s="4">
        <v>12.82002</v>
      </c>
      <c r="AD569" s="22"/>
      <c r="AE569" s="22"/>
      <c r="AF569" s="22"/>
      <c r="AG569" s="22"/>
      <c r="AH569" s="20"/>
      <c r="AI569" s="4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4"/>
      <c r="BA569" s="4"/>
      <c r="BB569" s="4"/>
      <c r="BC569" s="22"/>
      <c r="BD569" s="22"/>
      <c r="BE569" s="22"/>
      <c r="BF569" s="22">
        <f>39.17431-4.7606</f>
        <v>34.413709999999995</v>
      </c>
      <c r="BG569" s="22">
        <f>24.5426-2.98937</f>
        <v>21.55323</v>
      </c>
      <c r="BH569" s="22"/>
      <c r="BI569" s="22"/>
      <c r="BJ569" s="22"/>
      <c r="BK569" s="22"/>
      <c r="BL569" s="22"/>
      <c r="BM569" s="22"/>
      <c r="BN569" s="22"/>
      <c r="BO569" s="4"/>
      <c r="BP569" s="4"/>
      <c r="BQ569" s="4"/>
      <c r="BR569" s="4"/>
      <c r="BS569" s="4"/>
      <c r="BT569" s="22"/>
      <c r="BU569" s="24"/>
    </row>
    <row r="570" spans="1:73" ht="73.5" customHeight="1" outlineLevel="2">
      <c r="A570" s="44" t="s">
        <v>312</v>
      </c>
      <c r="B570" s="45" t="s">
        <v>931</v>
      </c>
      <c r="C570" s="39">
        <f>D570+E570</f>
        <v>3048.1802</v>
      </c>
      <c r="D570" s="1">
        <f t="shared" si="91"/>
        <v>1500</v>
      </c>
      <c r="E570" s="1">
        <f t="shared" si="92"/>
        <v>1548.1802</v>
      </c>
      <c r="F570" s="22"/>
      <c r="G570" s="22"/>
      <c r="H570" s="22"/>
      <c r="I570" s="22"/>
      <c r="J570" s="22"/>
      <c r="K570" s="22"/>
      <c r="L570" s="22"/>
      <c r="M570" s="22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22"/>
      <c r="AA570" s="22"/>
      <c r="AB570" s="23"/>
      <c r="AC570" s="4"/>
      <c r="AD570" s="22"/>
      <c r="AE570" s="22"/>
      <c r="AF570" s="22"/>
      <c r="AG570" s="22"/>
      <c r="AH570" s="20"/>
      <c r="AI570" s="4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>
        <v>66.6802</v>
      </c>
      <c r="AX570" s="22"/>
      <c r="AY570" s="22"/>
      <c r="AZ570" s="4"/>
      <c r="BA570" s="4"/>
      <c r="BB570" s="4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4">
        <v>1500</v>
      </c>
      <c r="BP570" s="4">
        <v>1481.5</v>
      </c>
      <c r="BQ570" s="4"/>
      <c r="BR570" s="4"/>
      <c r="BS570" s="4"/>
      <c r="BT570" s="22"/>
      <c r="BU570" s="24"/>
    </row>
    <row r="571" spans="1:73" ht="73.5" customHeight="1" outlineLevel="2">
      <c r="A571" s="44" t="s">
        <v>312</v>
      </c>
      <c r="B571" s="45" t="s">
        <v>580</v>
      </c>
      <c r="C571" s="39">
        <f t="shared" si="93"/>
        <v>92.99233000000001</v>
      </c>
      <c r="D571" s="1">
        <f t="shared" si="91"/>
        <v>57.10598</v>
      </c>
      <c r="E571" s="1">
        <f t="shared" si="92"/>
        <v>35.88635</v>
      </c>
      <c r="F571" s="22"/>
      <c r="G571" s="22"/>
      <c r="H571" s="22"/>
      <c r="I571" s="22"/>
      <c r="J571" s="22"/>
      <c r="K571" s="22"/>
      <c r="L571" s="22"/>
      <c r="M571" s="22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22"/>
      <c r="AA571" s="22"/>
      <c r="AB571" s="23"/>
      <c r="AC571" s="4"/>
      <c r="AD571" s="22"/>
      <c r="AE571" s="22"/>
      <c r="AF571" s="22"/>
      <c r="AG571" s="22"/>
      <c r="AH571" s="20"/>
      <c r="AI571" s="4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4"/>
      <c r="BA571" s="4"/>
      <c r="BB571" s="4"/>
      <c r="BC571" s="22"/>
      <c r="BD571" s="22"/>
      <c r="BE571" s="22"/>
      <c r="BF571" s="22">
        <v>57.10598</v>
      </c>
      <c r="BG571" s="22">
        <v>35.88635</v>
      </c>
      <c r="BH571" s="22"/>
      <c r="BI571" s="22"/>
      <c r="BJ571" s="22"/>
      <c r="BK571" s="22"/>
      <c r="BL571" s="22"/>
      <c r="BM571" s="22"/>
      <c r="BN571" s="22"/>
      <c r="BO571" s="4"/>
      <c r="BP571" s="4"/>
      <c r="BQ571" s="4"/>
      <c r="BR571" s="4"/>
      <c r="BS571" s="4"/>
      <c r="BT571" s="22"/>
      <c r="BU571" s="24"/>
    </row>
    <row r="572" spans="1:73" ht="73.5" customHeight="1" outlineLevel="2">
      <c r="A572" s="44" t="s">
        <v>312</v>
      </c>
      <c r="B572" s="45" t="s">
        <v>932</v>
      </c>
      <c r="C572" s="39">
        <f t="shared" si="93"/>
        <v>359.60688</v>
      </c>
      <c r="D572" s="1">
        <f t="shared" si="91"/>
        <v>187.86399</v>
      </c>
      <c r="E572" s="1">
        <f t="shared" si="92"/>
        <v>171.74289</v>
      </c>
      <c r="F572" s="22"/>
      <c r="G572" s="22"/>
      <c r="H572" s="22"/>
      <c r="I572" s="22"/>
      <c r="J572" s="22"/>
      <c r="K572" s="22"/>
      <c r="L572" s="22"/>
      <c r="M572" s="22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22"/>
      <c r="AA572" s="22"/>
      <c r="AB572" s="23">
        <v>62.3503</v>
      </c>
      <c r="AC572" s="4">
        <v>23.30913</v>
      </c>
      <c r="AD572" s="22"/>
      <c r="AE572" s="22"/>
      <c r="AF572" s="22"/>
      <c r="AG572" s="22"/>
      <c r="AH572" s="20">
        <f>36.13275+33.7272</f>
        <v>69.85995</v>
      </c>
      <c r="AI572" s="4">
        <v>33.7272</v>
      </c>
      <c r="AJ572" s="22">
        <v>36.13275</v>
      </c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4"/>
      <c r="BA572" s="4"/>
      <c r="BB572" s="4"/>
      <c r="BC572" s="22"/>
      <c r="BD572" s="22"/>
      <c r="BE572" s="22"/>
      <c r="BF572" s="22">
        <v>125.51369</v>
      </c>
      <c r="BG572" s="22">
        <v>78.57381</v>
      </c>
      <c r="BH572" s="22"/>
      <c r="BI572" s="22"/>
      <c r="BJ572" s="22"/>
      <c r="BK572" s="22"/>
      <c r="BL572" s="22"/>
      <c r="BM572" s="22"/>
      <c r="BN572" s="22"/>
      <c r="BO572" s="4"/>
      <c r="BP572" s="4"/>
      <c r="BQ572" s="4"/>
      <c r="BR572" s="4"/>
      <c r="BS572" s="4"/>
      <c r="BT572" s="22"/>
      <c r="BU572" s="24"/>
    </row>
    <row r="573" spans="1:73" ht="73.5" customHeight="1" outlineLevel="2">
      <c r="A573" s="44" t="s">
        <v>312</v>
      </c>
      <c r="B573" s="45" t="s">
        <v>933</v>
      </c>
      <c r="C573" s="39">
        <f t="shared" si="93"/>
        <v>187.28252000000003</v>
      </c>
      <c r="D573" s="1">
        <f t="shared" si="91"/>
        <v>105.20437000000001</v>
      </c>
      <c r="E573" s="1">
        <f t="shared" si="92"/>
        <v>82.07815000000001</v>
      </c>
      <c r="F573" s="22"/>
      <c r="G573" s="22"/>
      <c r="H573" s="22"/>
      <c r="I573" s="22"/>
      <c r="J573" s="22"/>
      <c r="K573" s="22"/>
      <c r="L573" s="22"/>
      <c r="M573" s="22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22"/>
      <c r="AA573" s="22"/>
      <c r="AB573" s="23">
        <v>45.11872</v>
      </c>
      <c r="AC573" s="4">
        <v>15.15094</v>
      </c>
      <c r="AD573" s="22"/>
      <c r="AE573" s="22"/>
      <c r="AF573" s="22"/>
      <c r="AG573" s="22"/>
      <c r="AH573" s="20">
        <v>10.81596</v>
      </c>
      <c r="AI573" s="4"/>
      <c r="AJ573" s="20">
        <v>10.81596</v>
      </c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4"/>
      <c r="BA573" s="4"/>
      <c r="BB573" s="4"/>
      <c r="BC573" s="22"/>
      <c r="BD573" s="22"/>
      <c r="BE573" s="22">
        <v>18.57091</v>
      </c>
      <c r="BF573" s="22">
        <v>60.08565</v>
      </c>
      <c r="BG573" s="22">
        <v>37.54034</v>
      </c>
      <c r="BH573" s="22"/>
      <c r="BI573" s="22"/>
      <c r="BJ573" s="22"/>
      <c r="BK573" s="22"/>
      <c r="BL573" s="22"/>
      <c r="BM573" s="22"/>
      <c r="BN573" s="22"/>
      <c r="BO573" s="4"/>
      <c r="BP573" s="4"/>
      <c r="BQ573" s="4"/>
      <c r="BR573" s="4"/>
      <c r="BS573" s="4"/>
      <c r="BT573" s="22"/>
      <c r="BU573" s="24"/>
    </row>
    <row r="574" spans="1:73" ht="73.5" customHeight="1" outlineLevel="2">
      <c r="A574" s="44" t="s">
        <v>312</v>
      </c>
      <c r="B574" s="45" t="s">
        <v>934</v>
      </c>
      <c r="C574" s="39">
        <f t="shared" si="93"/>
        <v>126.14189</v>
      </c>
      <c r="D574" s="1">
        <f t="shared" si="91"/>
        <v>72.14712</v>
      </c>
      <c r="E574" s="1">
        <f t="shared" si="92"/>
        <v>53.99477</v>
      </c>
      <c r="F574" s="22"/>
      <c r="G574" s="22"/>
      <c r="H574" s="22"/>
      <c r="I574" s="22"/>
      <c r="J574" s="22"/>
      <c r="K574" s="22"/>
      <c r="L574" s="22"/>
      <c r="M574" s="22"/>
      <c r="N574" s="4">
        <v>7.43803</v>
      </c>
      <c r="O574" s="4">
        <v>0.3798</v>
      </c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22">
        <v>1.73758</v>
      </c>
      <c r="AA574" s="22">
        <v>1.1745</v>
      </c>
      <c r="AB574" s="23">
        <v>29.29611</v>
      </c>
      <c r="AC574" s="4">
        <v>10.48911</v>
      </c>
      <c r="AD574" s="22"/>
      <c r="AE574" s="22"/>
      <c r="AF574" s="22"/>
      <c r="AG574" s="22"/>
      <c r="AH574" s="20">
        <f>9.6354+11.2424</f>
        <v>20.8778</v>
      </c>
      <c r="AI574" s="4">
        <v>11.2424</v>
      </c>
      <c r="AJ574" s="22">
        <v>9.6354</v>
      </c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4"/>
      <c r="BA574" s="4"/>
      <c r="BB574" s="4"/>
      <c r="BC574" s="22"/>
      <c r="BD574" s="22"/>
      <c r="BE574" s="22"/>
      <c r="BF574" s="22">
        <v>33.6754</v>
      </c>
      <c r="BG574" s="22">
        <v>21.07356</v>
      </c>
      <c r="BH574" s="22"/>
      <c r="BI574" s="22"/>
      <c r="BJ574" s="22"/>
      <c r="BK574" s="22"/>
      <c r="BL574" s="22"/>
      <c r="BM574" s="22"/>
      <c r="BN574" s="22"/>
      <c r="BO574" s="4"/>
      <c r="BP574" s="4"/>
      <c r="BQ574" s="4"/>
      <c r="BR574" s="4"/>
      <c r="BS574" s="4"/>
      <c r="BT574" s="22"/>
      <c r="BU574" s="24"/>
    </row>
    <row r="575" spans="1:73" ht="73.5" customHeight="1" outlineLevel="2">
      <c r="A575" s="44" t="s">
        <v>312</v>
      </c>
      <c r="B575" s="45" t="s">
        <v>935</v>
      </c>
      <c r="C575" s="39">
        <f t="shared" si="93"/>
        <v>290.89088</v>
      </c>
      <c r="D575" s="1">
        <f t="shared" si="91"/>
        <v>163.99482999999998</v>
      </c>
      <c r="E575" s="1">
        <f t="shared" si="92"/>
        <v>126.89605</v>
      </c>
      <c r="F575" s="22"/>
      <c r="G575" s="22"/>
      <c r="H575" s="22"/>
      <c r="I575" s="22"/>
      <c r="J575" s="22"/>
      <c r="K575" s="22"/>
      <c r="L575" s="22"/>
      <c r="M575" s="22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22">
        <v>8.68789</v>
      </c>
      <c r="AA575" s="22">
        <v>5.7915</v>
      </c>
      <c r="AB575" s="23">
        <v>69.51084</v>
      </c>
      <c r="AC575" s="4">
        <v>23.30913</v>
      </c>
      <c r="AD575" s="22"/>
      <c r="AE575" s="22"/>
      <c r="AF575" s="22"/>
      <c r="AG575" s="22"/>
      <c r="AH575" s="20">
        <f>21.67965+22.4848</f>
        <v>44.16445</v>
      </c>
      <c r="AI575" s="4">
        <v>22.4848</v>
      </c>
      <c r="AJ575" s="22">
        <v>21.67965</v>
      </c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4"/>
      <c r="BA575" s="4"/>
      <c r="BB575" s="4"/>
      <c r="BC575" s="22"/>
      <c r="BD575" s="22"/>
      <c r="BE575" s="22"/>
      <c r="BF575" s="22">
        <v>85.7961</v>
      </c>
      <c r="BG575" s="22">
        <v>53.63097</v>
      </c>
      <c r="BH575" s="22"/>
      <c r="BI575" s="22"/>
      <c r="BJ575" s="22"/>
      <c r="BK575" s="22"/>
      <c r="BL575" s="22"/>
      <c r="BM575" s="22"/>
      <c r="BN575" s="22"/>
      <c r="BO575" s="4"/>
      <c r="BP575" s="4"/>
      <c r="BQ575" s="4"/>
      <c r="BR575" s="4"/>
      <c r="BS575" s="4"/>
      <c r="BT575" s="22"/>
      <c r="BU575" s="24"/>
    </row>
    <row r="576" spans="1:73" ht="73.5" customHeight="1" outlineLevel="2">
      <c r="A576" s="44" t="s">
        <v>312</v>
      </c>
      <c r="B576" s="45" t="s">
        <v>936</v>
      </c>
      <c r="C576" s="39">
        <f t="shared" si="93"/>
        <v>473.41274999999996</v>
      </c>
      <c r="D576" s="1">
        <f t="shared" si="91"/>
        <v>266.10508</v>
      </c>
      <c r="E576" s="1">
        <f t="shared" si="92"/>
        <v>207.30767</v>
      </c>
      <c r="F576" s="22"/>
      <c r="G576" s="22"/>
      <c r="H576" s="22"/>
      <c r="I576" s="22"/>
      <c r="J576" s="22"/>
      <c r="K576" s="22"/>
      <c r="L576" s="22"/>
      <c r="M576" s="22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22"/>
      <c r="AA576" s="22"/>
      <c r="AB576" s="23">
        <v>182.12375</v>
      </c>
      <c r="AC576" s="4">
        <v>100.22927</v>
      </c>
      <c r="AD576" s="22"/>
      <c r="AE576" s="22"/>
      <c r="AF576" s="22"/>
      <c r="AG576" s="22"/>
      <c r="AH576" s="20">
        <f>20.73059+33.7272</f>
        <v>54.45779</v>
      </c>
      <c r="AI576" s="4">
        <v>33.7272</v>
      </c>
      <c r="AJ576" s="22">
        <v>20.73059</v>
      </c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4"/>
      <c r="BA576" s="4"/>
      <c r="BB576" s="4"/>
      <c r="BC576" s="22"/>
      <c r="BD576" s="22"/>
      <c r="BE576" s="22"/>
      <c r="BF576" s="22">
        <f>90.51548-6.53415</f>
        <v>83.98133</v>
      </c>
      <c r="BG576" s="22">
        <f>4.18674+52.53692-4.10305</f>
        <v>52.62061</v>
      </c>
      <c r="BH576" s="22"/>
      <c r="BI576" s="22"/>
      <c r="BJ576" s="22"/>
      <c r="BK576" s="22"/>
      <c r="BL576" s="22"/>
      <c r="BM576" s="22"/>
      <c r="BN576" s="22"/>
      <c r="BO576" s="4"/>
      <c r="BP576" s="4"/>
      <c r="BQ576" s="4"/>
      <c r="BR576" s="4"/>
      <c r="BS576" s="4"/>
      <c r="BT576" s="22"/>
      <c r="BU576" s="24"/>
    </row>
    <row r="577" spans="1:73" ht="73.5" customHeight="1" outlineLevel="2">
      <c r="A577" s="44" t="s">
        <v>312</v>
      </c>
      <c r="B577" s="45" t="s">
        <v>937</v>
      </c>
      <c r="C577" s="39">
        <f t="shared" si="93"/>
        <v>96.15461</v>
      </c>
      <c r="D577" s="1">
        <f t="shared" si="91"/>
        <v>51.28799</v>
      </c>
      <c r="E577" s="1">
        <f t="shared" si="92"/>
        <v>44.866620000000005</v>
      </c>
      <c r="F577" s="22"/>
      <c r="G577" s="22"/>
      <c r="H577" s="22"/>
      <c r="I577" s="22"/>
      <c r="J577" s="22"/>
      <c r="K577" s="22"/>
      <c r="L577" s="22"/>
      <c r="M577" s="22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22"/>
      <c r="AA577" s="22"/>
      <c r="AB577" s="23"/>
      <c r="AC577" s="4"/>
      <c r="AD577" s="22"/>
      <c r="AE577" s="22"/>
      <c r="AF577" s="22"/>
      <c r="AG577" s="22"/>
      <c r="AH577" s="20"/>
      <c r="AI577" s="4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>
        <v>37.03532</v>
      </c>
      <c r="AZ577" s="4">
        <v>35.92504</v>
      </c>
      <c r="BA577" s="4"/>
      <c r="BB577" s="4"/>
      <c r="BC577" s="22"/>
      <c r="BD577" s="22"/>
      <c r="BE577" s="22"/>
      <c r="BF577" s="22">
        <f>25.26738-11.01471</f>
        <v>14.25267</v>
      </c>
      <c r="BG577" s="22">
        <f>15.85815-6.91657</f>
        <v>8.94158</v>
      </c>
      <c r="BH577" s="22"/>
      <c r="BI577" s="22"/>
      <c r="BJ577" s="22"/>
      <c r="BK577" s="22"/>
      <c r="BL577" s="22"/>
      <c r="BM577" s="22"/>
      <c r="BN577" s="22"/>
      <c r="BO577" s="4"/>
      <c r="BP577" s="4"/>
      <c r="BQ577" s="4"/>
      <c r="BR577" s="4"/>
      <c r="BS577" s="4"/>
      <c r="BT577" s="22"/>
      <c r="BU577" s="24"/>
    </row>
    <row r="578" spans="1:73" ht="73.5" customHeight="1" outlineLevel="2">
      <c r="A578" s="44" t="s">
        <v>312</v>
      </c>
      <c r="B578" s="45" t="s">
        <v>938</v>
      </c>
      <c r="C578" s="39">
        <f t="shared" si="93"/>
        <v>407.324</v>
      </c>
      <c r="D578" s="1">
        <f t="shared" si="91"/>
        <v>27.76602</v>
      </c>
      <c r="E578" s="1">
        <f t="shared" si="92"/>
        <v>379.55798</v>
      </c>
      <c r="F578" s="22"/>
      <c r="G578" s="22"/>
      <c r="H578" s="22"/>
      <c r="I578" s="22"/>
      <c r="J578" s="22"/>
      <c r="K578" s="22"/>
      <c r="L578" s="22"/>
      <c r="M578" s="22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22"/>
      <c r="AA578" s="22"/>
      <c r="AB578" s="23">
        <v>3.02009</v>
      </c>
      <c r="AC578" s="4">
        <v>1.16546</v>
      </c>
      <c r="AD578" s="22"/>
      <c r="AE578" s="22"/>
      <c r="AF578" s="22"/>
      <c r="AG578" s="22"/>
      <c r="AH578" s="20"/>
      <c r="AI578" s="4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>
        <v>138.736</v>
      </c>
      <c r="AX578" s="22"/>
      <c r="AY578" s="22"/>
      <c r="AZ578" s="4"/>
      <c r="BA578" s="4"/>
      <c r="BB578" s="4"/>
      <c r="BC578" s="22"/>
      <c r="BD578" s="22"/>
      <c r="BE578" s="22"/>
      <c r="BF578" s="22">
        <v>24.74593</v>
      </c>
      <c r="BG578" s="22">
        <v>15.55075</v>
      </c>
      <c r="BH578" s="22"/>
      <c r="BI578" s="22"/>
      <c r="BJ578" s="22">
        <v>224.10577</v>
      </c>
      <c r="BK578" s="22"/>
      <c r="BL578" s="22"/>
      <c r="BM578" s="22"/>
      <c r="BN578" s="22"/>
      <c r="BO578" s="4"/>
      <c r="BP578" s="4"/>
      <c r="BQ578" s="4"/>
      <c r="BR578" s="4"/>
      <c r="BS578" s="4"/>
      <c r="BT578" s="22"/>
      <c r="BU578" s="24"/>
    </row>
    <row r="579" spans="1:73" ht="73.5" customHeight="1" outlineLevel="2">
      <c r="A579" s="44" t="s">
        <v>312</v>
      </c>
      <c r="B579" s="45" t="s">
        <v>939</v>
      </c>
      <c r="C579" s="39">
        <f t="shared" si="93"/>
        <v>0.29788999999999977</v>
      </c>
      <c r="D579" s="1">
        <f t="shared" si="91"/>
        <v>0.1802399999999995</v>
      </c>
      <c r="E579" s="1">
        <f t="shared" si="92"/>
        <v>0.11765000000000025</v>
      </c>
      <c r="F579" s="22"/>
      <c r="G579" s="22"/>
      <c r="H579" s="22"/>
      <c r="I579" s="22"/>
      <c r="J579" s="22"/>
      <c r="K579" s="22"/>
      <c r="L579" s="22"/>
      <c r="M579" s="22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22"/>
      <c r="AA579" s="22"/>
      <c r="AB579" s="23"/>
      <c r="AC579" s="4"/>
      <c r="AD579" s="22"/>
      <c r="AE579" s="22"/>
      <c r="AF579" s="22"/>
      <c r="AG579" s="22"/>
      <c r="AH579" s="20"/>
      <c r="AI579" s="4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4"/>
      <c r="BA579" s="4"/>
      <c r="BB579" s="4"/>
      <c r="BC579" s="22"/>
      <c r="BD579" s="22"/>
      <c r="BE579" s="22"/>
      <c r="BF579" s="22">
        <f>9.36538-9.18514</f>
        <v>0.1802399999999995</v>
      </c>
      <c r="BG579" s="22">
        <f>5.88536-5.76771</f>
        <v>0.11765000000000025</v>
      </c>
      <c r="BH579" s="22"/>
      <c r="BI579" s="22"/>
      <c r="BJ579" s="22"/>
      <c r="BK579" s="22"/>
      <c r="BL579" s="22"/>
      <c r="BM579" s="22"/>
      <c r="BN579" s="22"/>
      <c r="BO579" s="4"/>
      <c r="BP579" s="4"/>
      <c r="BQ579" s="4"/>
      <c r="BR579" s="4"/>
      <c r="BS579" s="4"/>
      <c r="BT579" s="22"/>
      <c r="BU579" s="24"/>
    </row>
    <row r="580" spans="1:73" ht="73.5" customHeight="1" outlineLevel="2">
      <c r="A580" s="44" t="s">
        <v>312</v>
      </c>
      <c r="B580" s="45" t="s">
        <v>940</v>
      </c>
      <c r="C580" s="39">
        <f t="shared" si="93"/>
        <v>659.4796699999999</v>
      </c>
      <c r="D580" s="1">
        <f t="shared" si="91"/>
        <v>444.41774</v>
      </c>
      <c r="E580" s="1">
        <f t="shared" si="92"/>
        <v>215.06193000000002</v>
      </c>
      <c r="F580" s="22"/>
      <c r="G580" s="22"/>
      <c r="H580" s="22"/>
      <c r="I580" s="22"/>
      <c r="J580" s="22"/>
      <c r="K580" s="22"/>
      <c r="L580" s="22"/>
      <c r="M580" s="22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22"/>
      <c r="AA580" s="22"/>
      <c r="AB580" s="23">
        <v>394.89658</v>
      </c>
      <c r="AC580" s="4">
        <v>142.1857</v>
      </c>
      <c r="AD580" s="22"/>
      <c r="AE580" s="22"/>
      <c r="AF580" s="22"/>
      <c r="AG580" s="22"/>
      <c r="AH580" s="20">
        <f>19.2708+22.4848</f>
        <v>41.7556</v>
      </c>
      <c r="AI580" s="4">
        <v>22.4848</v>
      </c>
      <c r="AJ580" s="22">
        <v>19.2708</v>
      </c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4"/>
      <c r="BA580" s="4"/>
      <c r="BB580" s="4"/>
      <c r="BC580" s="22"/>
      <c r="BD580" s="22"/>
      <c r="BE580" s="22"/>
      <c r="BF580" s="22">
        <f>51.01468-1.49352</f>
        <v>49.52116</v>
      </c>
      <c r="BG580" s="22">
        <f>32.05847-0.93784</f>
        <v>31.12063</v>
      </c>
      <c r="BH580" s="22"/>
      <c r="BI580" s="22"/>
      <c r="BJ580" s="22"/>
      <c r="BK580" s="22"/>
      <c r="BL580" s="22"/>
      <c r="BM580" s="22"/>
      <c r="BN580" s="22"/>
      <c r="BO580" s="4"/>
      <c r="BP580" s="4"/>
      <c r="BQ580" s="4"/>
      <c r="BR580" s="4"/>
      <c r="BS580" s="4"/>
      <c r="BT580" s="22"/>
      <c r="BU580" s="24"/>
    </row>
    <row r="581" spans="1:73" ht="73.5" customHeight="1" outlineLevel="2">
      <c r="A581" s="44" t="s">
        <v>312</v>
      </c>
      <c r="B581" s="45" t="s">
        <v>56</v>
      </c>
      <c r="C581" s="39">
        <f t="shared" si="93"/>
        <v>108.15751</v>
      </c>
      <c r="D581" s="1">
        <f t="shared" si="91"/>
        <v>59.8493</v>
      </c>
      <c r="E581" s="1">
        <f t="shared" si="92"/>
        <v>48.30821</v>
      </c>
      <c r="F581" s="22"/>
      <c r="G581" s="22"/>
      <c r="H581" s="22"/>
      <c r="I581" s="22"/>
      <c r="J581" s="22"/>
      <c r="K581" s="22"/>
      <c r="L581" s="22"/>
      <c r="M581" s="22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22"/>
      <c r="AA581" s="22"/>
      <c r="AB581" s="23">
        <v>27.32938</v>
      </c>
      <c r="AC581" s="4">
        <v>9.48682</v>
      </c>
      <c r="AD581" s="22"/>
      <c r="AE581" s="22"/>
      <c r="AF581" s="22"/>
      <c r="AG581" s="22"/>
      <c r="AH581" s="20">
        <f>7.21064+11.2424</f>
        <v>18.45304</v>
      </c>
      <c r="AI581" s="4">
        <v>11.2424</v>
      </c>
      <c r="AJ581" s="22">
        <v>7.21064</v>
      </c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4"/>
      <c r="BA581" s="4"/>
      <c r="BB581" s="4"/>
      <c r="BC581" s="22"/>
      <c r="BD581" s="22"/>
      <c r="BE581" s="22"/>
      <c r="BF581" s="22">
        <v>32.51992</v>
      </c>
      <c r="BG581" s="22">
        <v>20.36835</v>
      </c>
      <c r="BH581" s="22"/>
      <c r="BI581" s="22"/>
      <c r="BJ581" s="22"/>
      <c r="BK581" s="22"/>
      <c r="BL581" s="22"/>
      <c r="BM581" s="22"/>
      <c r="BN581" s="22"/>
      <c r="BO581" s="4"/>
      <c r="BP581" s="4"/>
      <c r="BQ581" s="4"/>
      <c r="BR581" s="4"/>
      <c r="BS581" s="4"/>
      <c r="BT581" s="22"/>
      <c r="BU581" s="24"/>
    </row>
    <row r="582" spans="1:73" ht="73.5" customHeight="1" outlineLevel="2">
      <c r="A582" s="44" t="s">
        <v>312</v>
      </c>
      <c r="B582" s="45" t="s">
        <v>57</v>
      </c>
      <c r="C582" s="39">
        <f t="shared" si="93"/>
        <v>119.14590000000001</v>
      </c>
      <c r="D582" s="1">
        <f t="shared" si="91"/>
        <v>65.43721000000001</v>
      </c>
      <c r="E582" s="1">
        <f t="shared" si="92"/>
        <v>53.708690000000004</v>
      </c>
      <c r="F582" s="22"/>
      <c r="G582" s="22"/>
      <c r="H582" s="22"/>
      <c r="I582" s="22"/>
      <c r="J582" s="22"/>
      <c r="K582" s="22"/>
      <c r="L582" s="22"/>
      <c r="M582" s="22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22"/>
      <c r="AA582" s="22"/>
      <c r="AB582" s="23">
        <v>28.95757</v>
      </c>
      <c r="AC582" s="4">
        <v>10.02293</v>
      </c>
      <c r="AD582" s="22"/>
      <c r="AE582" s="22"/>
      <c r="AF582" s="22"/>
      <c r="AG582" s="22"/>
      <c r="AH582" s="20">
        <f>9.6354+11.2424</f>
        <v>20.8778</v>
      </c>
      <c r="AI582" s="4">
        <v>11.2424</v>
      </c>
      <c r="AJ582" s="22">
        <v>9.6354</v>
      </c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4"/>
      <c r="BA582" s="4"/>
      <c r="BB582" s="4"/>
      <c r="BC582" s="22"/>
      <c r="BD582" s="22"/>
      <c r="BE582" s="22"/>
      <c r="BF582" s="22">
        <v>36.47964</v>
      </c>
      <c r="BG582" s="22">
        <v>22.80796</v>
      </c>
      <c r="BH582" s="22"/>
      <c r="BI582" s="22"/>
      <c r="BJ582" s="22"/>
      <c r="BK582" s="22"/>
      <c r="BL582" s="22"/>
      <c r="BM582" s="22"/>
      <c r="BN582" s="22"/>
      <c r="BO582" s="4"/>
      <c r="BP582" s="4"/>
      <c r="BQ582" s="4"/>
      <c r="BR582" s="4"/>
      <c r="BS582" s="4"/>
      <c r="BT582" s="22"/>
      <c r="BU582" s="24"/>
    </row>
    <row r="583" spans="1:73" ht="73.5" customHeight="1" outlineLevel="2">
      <c r="A583" s="44" t="s">
        <v>312</v>
      </c>
      <c r="B583" s="45" t="s">
        <v>55</v>
      </c>
      <c r="C583" s="39">
        <f t="shared" si="93"/>
        <v>33.71606</v>
      </c>
      <c r="D583" s="1">
        <f t="shared" si="91"/>
        <v>20.72661</v>
      </c>
      <c r="E583" s="1">
        <f t="shared" si="92"/>
        <v>12.98945</v>
      </c>
      <c r="F583" s="22"/>
      <c r="G583" s="22"/>
      <c r="H583" s="22"/>
      <c r="I583" s="22"/>
      <c r="J583" s="22"/>
      <c r="K583" s="22"/>
      <c r="L583" s="22"/>
      <c r="M583" s="22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22"/>
      <c r="AA583" s="22"/>
      <c r="AB583" s="23">
        <v>6.29348</v>
      </c>
      <c r="AC583" s="4">
        <v>3.96255</v>
      </c>
      <c r="AD583" s="22"/>
      <c r="AE583" s="22"/>
      <c r="AF583" s="22"/>
      <c r="AG583" s="22"/>
      <c r="AH583" s="20"/>
      <c r="AI583" s="4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4"/>
      <c r="BA583" s="4"/>
      <c r="BB583" s="4"/>
      <c r="BC583" s="22"/>
      <c r="BD583" s="22"/>
      <c r="BE583" s="22"/>
      <c r="BF583" s="22">
        <v>14.43313</v>
      </c>
      <c r="BG583" s="22">
        <v>9.0269</v>
      </c>
      <c r="BH583" s="22"/>
      <c r="BI583" s="22"/>
      <c r="BJ583" s="22"/>
      <c r="BK583" s="22"/>
      <c r="BL583" s="22"/>
      <c r="BM583" s="22"/>
      <c r="BN583" s="22"/>
      <c r="BO583" s="4"/>
      <c r="BP583" s="4"/>
      <c r="BQ583" s="4"/>
      <c r="BR583" s="4"/>
      <c r="BS583" s="4"/>
      <c r="BT583" s="22"/>
      <c r="BU583" s="24"/>
    </row>
    <row r="584" spans="1:73" ht="73.5" customHeight="1" outlineLevel="2">
      <c r="A584" s="46" t="s">
        <v>312</v>
      </c>
      <c r="B584" s="45" t="s">
        <v>364</v>
      </c>
      <c r="C584" s="39">
        <f t="shared" si="93"/>
        <v>460.4136</v>
      </c>
      <c r="D584" s="1">
        <f t="shared" si="91"/>
        <v>0</v>
      </c>
      <c r="E584" s="1">
        <f t="shared" si="92"/>
        <v>460.4136</v>
      </c>
      <c r="F584" s="22"/>
      <c r="G584" s="22"/>
      <c r="H584" s="22"/>
      <c r="I584" s="22"/>
      <c r="J584" s="22"/>
      <c r="K584" s="22"/>
      <c r="L584" s="22"/>
      <c r="M584" s="22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22"/>
      <c r="AA584" s="22"/>
      <c r="AB584" s="4"/>
      <c r="AC584" s="4"/>
      <c r="AD584" s="22"/>
      <c r="AE584" s="22"/>
      <c r="AF584" s="22"/>
      <c r="AG584" s="22"/>
      <c r="AH584" s="20"/>
      <c r="AI584" s="4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4"/>
      <c r="BA584" s="4"/>
      <c r="BB584" s="4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>
        <v>460.4136</v>
      </c>
      <c r="BN584" s="22"/>
      <c r="BO584" s="4"/>
      <c r="BP584" s="4"/>
      <c r="BQ584" s="4"/>
      <c r="BR584" s="4"/>
      <c r="BS584" s="4"/>
      <c r="BT584" s="22"/>
      <c r="BU584" s="24"/>
    </row>
    <row r="585" spans="1:73" ht="73.5" customHeight="1" outlineLevel="2">
      <c r="A585" s="44" t="s">
        <v>312</v>
      </c>
      <c r="B585" s="26" t="s">
        <v>425</v>
      </c>
      <c r="C585" s="39">
        <f t="shared" si="93"/>
        <v>758.61959</v>
      </c>
      <c r="D585" s="1">
        <f t="shared" si="91"/>
        <v>0</v>
      </c>
      <c r="E585" s="1">
        <f t="shared" si="92"/>
        <v>758.61959</v>
      </c>
      <c r="F585" s="22"/>
      <c r="G585" s="22"/>
      <c r="H585" s="22"/>
      <c r="I585" s="22"/>
      <c r="J585" s="22"/>
      <c r="K585" s="22"/>
      <c r="L585" s="22"/>
      <c r="M585" s="22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22"/>
      <c r="AA585" s="22"/>
      <c r="AB585" s="4"/>
      <c r="AC585" s="4"/>
      <c r="AD585" s="22"/>
      <c r="AE585" s="22"/>
      <c r="AF585" s="22"/>
      <c r="AG585" s="22"/>
      <c r="AH585" s="20"/>
      <c r="AI585" s="4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4"/>
      <c r="BA585" s="4"/>
      <c r="BB585" s="4"/>
      <c r="BC585" s="22"/>
      <c r="BD585" s="22"/>
      <c r="BE585" s="22"/>
      <c r="BF585" s="22"/>
      <c r="BG585" s="22"/>
      <c r="BH585" s="22"/>
      <c r="BI585" s="22"/>
      <c r="BJ585" s="22">
        <v>250.52509</v>
      </c>
      <c r="BK585" s="22"/>
      <c r="BL585" s="22"/>
      <c r="BM585" s="22">
        <v>508.0945</v>
      </c>
      <c r="BN585" s="22"/>
      <c r="BO585" s="4"/>
      <c r="BP585" s="4"/>
      <c r="BQ585" s="4"/>
      <c r="BR585" s="4"/>
      <c r="BS585" s="4"/>
      <c r="BT585" s="22"/>
      <c r="BU585" s="24"/>
    </row>
    <row r="586" spans="1:73" ht="73.5" customHeight="1" outlineLevel="2">
      <c r="A586" s="46" t="s">
        <v>312</v>
      </c>
      <c r="B586" s="45" t="s">
        <v>408</v>
      </c>
      <c r="C586" s="39">
        <f t="shared" si="93"/>
        <v>223.55176</v>
      </c>
      <c r="D586" s="1">
        <f t="shared" si="91"/>
        <v>0</v>
      </c>
      <c r="E586" s="1">
        <f t="shared" si="92"/>
        <v>223.55176</v>
      </c>
      <c r="F586" s="22"/>
      <c r="G586" s="22"/>
      <c r="H586" s="22"/>
      <c r="I586" s="22"/>
      <c r="J586" s="22"/>
      <c r="K586" s="22"/>
      <c r="L586" s="22"/>
      <c r="M586" s="22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22"/>
      <c r="AA586" s="22"/>
      <c r="AB586" s="4"/>
      <c r="AC586" s="4"/>
      <c r="AD586" s="22"/>
      <c r="AE586" s="22"/>
      <c r="AF586" s="22"/>
      <c r="AG586" s="22"/>
      <c r="AH586" s="20"/>
      <c r="AI586" s="4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4"/>
      <c r="BA586" s="4"/>
      <c r="BB586" s="4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>
        <v>223.55176</v>
      </c>
      <c r="BN586" s="22"/>
      <c r="BO586" s="4"/>
      <c r="BP586" s="4"/>
      <c r="BQ586" s="4"/>
      <c r="BR586" s="4"/>
      <c r="BS586" s="4"/>
      <c r="BT586" s="22"/>
      <c r="BU586" s="24"/>
    </row>
    <row r="587" spans="1:73" ht="73.5" customHeight="1" outlineLevel="2">
      <c r="A587" s="46" t="s">
        <v>312</v>
      </c>
      <c r="B587" s="45" t="s">
        <v>108</v>
      </c>
      <c r="C587" s="39">
        <f t="shared" si="93"/>
        <v>63.29576</v>
      </c>
      <c r="D587" s="1">
        <f t="shared" si="91"/>
        <v>0</v>
      </c>
      <c r="E587" s="1">
        <f t="shared" si="92"/>
        <v>63.29576</v>
      </c>
      <c r="F587" s="22"/>
      <c r="G587" s="22"/>
      <c r="H587" s="22"/>
      <c r="I587" s="22"/>
      <c r="J587" s="22"/>
      <c r="K587" s="22"/>
      <c r="L587" s="22">
        <v>63.29576</v>
      </c>
      <c r="M587" s="22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22"/>
      <c r="AA587" s="22"/>
      <c r="AB587" s="4"/>
      <c r="AC587" s="4"/>
      <c r="AD587" s="22"/>
      <c r="AE587" s="22"/>
      <c r="AF587" s="22"/>
      <c r="AG587" s="22"/>
      <c r="AH587" s="20"/>
      <c r="AI587" s="4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4"/>
      <c r="BA587" s="4"/>
      <c r="BB587" s="4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4"/>
      <c r="BP587" s="4"/>
      <c r="BQ587" s="4"/>
      <c r="BR587" s="4"/>
      <c r="BS587" s="4"/>
      <c r="BT587" s="22"/>
      <c r="BU587" s="24"/>
    </row>
    <row r="588" spans="1:73" ht="73.5" customHeight="1" outlineLevel="2">
      <c r="A588" s="46" t="s">
        <v>312</v>
      </c>
      <c r="B588" s="45" t="s">
        <v>354</v>
      </c>
      <c r="C588" s="39">
        <f t="shared" si="93"/>
        <v>16876.8839</v>
      </c>
      <c r="D588" s="1">
        <f t="shared" si="91"/>
        <v>10431.5641</v>
      </c>
      <c r="E588" s="1">
        <f t="shared" si="92"/>
        <v>6445.3198</v>
      </c>
      <c r="F588" s="22"/>
      <c r="G588" s="22"/>
      <c r="H588" s="22"/>
      <c r="I588" s="22"/>
      <c r="J588" s="22"/>
      <c r="K588" s="22"/>
      <c r="L588" s="22"/>
      <c r="M588" s="22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22"/>
      <c r="AA588" s="22"/>
      <c r="AB588" s="4"/>
      <c r="AC588" s="4"/>
      <c r="AD588" s="22"/>
      <c r="AE588" s="22"/>
      <c r="AF588" s="22"/>
      <c r="AG588" s="22"/>
      <c r="AH588" s="20"/>
      <c r="AI588" s="4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4"/>
      <c r="BA588" s="4"/>
      <c r="BB588" s="4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>
        <v>206.5459</v>
      </c>
      <c r="BN588" s="22"/>
      <c r="BO588" s="4"/>
      <c r="BP588" s="4"/>
      <c r="BQ588" s="4">
        <v>10431.5641</v>
      </c>
      <c r="BR588" s="4">
        <v>6238.7739</v>
      </c>
      <c r="BS588" s="4"/>
      <c r="BT588" s="22"/>
      <c r="BU588" s="24"/>
    </row>
    <row r="589" spans="1:73" ht="73.5" customHeight="1" outlineLevel="2">
      <c r="A589" s="46" t="s">
        <v>312</v>
      </c>
      <c r="B589" s="45" t="s">
        <v>77</v>
      </c>
      <c r="C589" s="39">
        <f t="shared" si="93"/>
        <v>1567.3201399999998</v>
      </c>
      <c r="D589" s="1">
        <f t="shared" si="91"/>
        <v>1125.13999</v>
      </c>
      <c r="E589" s="1">
        <f t="shared" si="92"/>
        <v>442.18015</v>
      </c>
      <c r="F589" s="22"/>
      <c r="G589" s="22"/>
      <c r="H589" s="22"/>
      <c r="I589" s="22"/>
      <c r="J589" s="22"/>
      <c r="K589" s="22"/>
      <c r="L589" s="22">
        <v>391.42081</v>
      </c>
      <c r="M589" s="22"/>
      <c r="N589" s="4">
        <v>1125.13999</v>
      </c>
      <c r="O589" s="4">
        <f>29.31224+21.4471</f>
        <v>50.759339999999995</v>
      </c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22"/>
      <c r="AA589" s="22"/>
      <c r="AB589" s="4"/>
      <c r="AC589" s="4"/>
      <c r="AD589" s="22"/>
      <c r="AE589" s="22"/>
      <c r="AF589" s="22"/>
      <c r="AG589" s="22"/>
      <c r="AH589" s="20"/>
      <c r="AI589" s="4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4"/>
      <c r="BA589" s="4"/>
      <c r="BB589" s="4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4"/>
      <c r="BP589" s="4"/>
      <c r="BQ589" s="4"/>
      <c r="BR589" s="4"/>
      <c r="BS589" s="4"/>
      <c r="BT589" s="22"/>
      <c r="BU589" s="24"/>
    </row>
    <row r="590" spans="1:73" ht="73.5" customHeight="1" outlineLevel="2" thickBot="1">
      <c r="A590" s="46" t="s">
        <v>312</v>
      </c>
      <c r="B590" s="45" t="s">
        <v>355</v>
      </c>
      <c r="C590" s="39">
        <f t="shared" si="93"/>
        <v>12444.07252</v>
      </c>
      <c r="D590" s="1">
        <f t="shared" si="91"/>
        <v>3347.8578</v>
      </c>
      <c r="E590" s="1">
        <f t="shared" si="92"/>
        <v>9096.21472</v>
      </c>
      <c r="F590" s="22"/>
      <c r="G590" s="22"/>
      <c r="H590" s="22"/>
      <c r="I590" s="22"/>
      <c r="J590" s="22"/>
      <c r="K590" s="22"/>
      <c r="L590" s="22"/>
      <c r="M590" s="22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22"/>
      <c r="AA590" s="22"/>
      <c r="AB590" s="4"/>
      <c r="AC590" s="4"/>
      <c r="AD590" s="22"/>
      <c r="AE590" s="22"/>
      <c r="AF590" s="22"/>
      <c r="AG590" s="22"/>
      <c r="AH590" s="20"/>
      <c r="AI590" s="4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4"/>
      <c r="BA590" s="4"/>
      <c r="BB590" s="4"/>
      <c r="BC590" s="22"/>
      <c r="BD590" s="22">
        <f>79.2839+153.98305</f>
        <v>233.26695</v>
      </c>
      <c r="BE590" s="22"/>
      <c r="BF590" s="22"/>
      <c r="BG590" s="22"/>
      <c r="BH590" s="22"/>
      <c r="BI590" s="22"/>
      <c r="BJ590" s="22"/>
      <c r="BK590" s="22"/>
      <c r="BL590" s="22"/>
      <c r="BM590" s="22">
        <v>6860.70457</v>
      </c>
      <c r="BN590" s="22"/>
      <c r="BO590" s="4"/>
      <c r="BP590" s="4"/>
      <c r="BQ590" s="4">
        <v>3347.8578</v>
      </c>
      <c r="BR590" s="4">
        <v>2002.2432</v>
      </c>
      <c r="BS590" s="4"/>
      <c r="BT590" s="22"/>
      <c r="BU590" s="24"/>
    </row>
    <row r="591" spans="1:74" s="35" customFormat="1" ht="73.5" customHeight="1" outlineLevel="1" thickBot="1">
      <c r="A591" s="29" t="s">
        <v>426</v>
      </c>
      <c r="B591" s="48"/>
      <c r="C591" s="31">
        <f aca="true" t="shared" si="94" ref="C591:BN591">SUBTOTAL(9,C542:C590)</f>
        <v>242886.55234999993</v>
      </c>
      <c r="D591" s="31">
        <f t="shared" si="94"/>
        <v>92221.29952999995</v>
      </c>
      <c r="E591" s="31">
        <f t="shared" si="94"/>
        <v>150665.2528199999</v>
      </c>
      <c r="F591" s="31">
        <f t="shared" si="94"/>
        <v>0</v>
      </c>
      <c r="G591" s="31">
        <f t="shared" si="94"/>
        <v>0</v>
      </c>
      <c r="H591" s="31">
        <f t="shared" si="94"/>
        <v>7496.60808</v>
      </c>
      <c r="I591" s="31">
        <f t="shared" si="94"/>
        <v>4442.37661</v>
      </c>
      <c r="J591" s="31">
        <f t="shared" si="94"/>
        <v>1285.0035500000001</v>
      </c>
      <c r="K591" s="31">
        <f t="shared" si="94"/>
        <v>665.4329500000001</v>
      </c>
      <c r="L591" s="31">
        <f t="shared" si="94"/>
        <v>7226.101969999999</v>
      </c>
      <c r="M591" s="31">
        <f t="shared" si="94"/>
        <v>0</v>
      </c>
      <c r="N591" s="31">
        <f t="shared" si="94"/>
        <v>1148.4030599999999</v>
      </c>
      <c r="O591" s="31">
        <f t="shared" si="94"/>
        <v>51.9417</v>
      </c>
      <c r="P591" s="31">
        <f t="shared" si="94"/>
        <v>0</v>
      </c>
      <c r="Q591" s="31">
        <f t="shared" si="94"/>
        <v>0</v>
      </c>
      <c r="R591" s="31">
        <f t="shared" si="94"/>
        <v>7094.65321</v>
      </c>
      <c r="S591" s="31">
        <f t="shared" si="94"/>
        <v>5266.483389999999</v>
      </c>
      <c r="T591" s="31">
        <f t="shared" si="94"/>
        <v>0</v>
      </c>
      <c r="U591" s="31">
        <f t="shared" si="94"/>
        <v>0</v>
      </c>
      <c r="V591" s="31">
        <f t="shared" si="94"/>
        <v>0</v>
      </c>
      <c r="W591" s="31">
        <f t="shared" si="94"/>
        <v>0</v>
      </c>
      <c r="X591" s="31">
        <f t="shared" si="94"/>
        <v>0</v>
      </c>
      <c r="Y591" s="31">
        <f t="shared" si="94"/>
        <v>0</v>
      </c>
      <c r="Z591" s="31">
        <f t="shared" si="94"/>
        <v>2112.24503</v>
      </c>
      <c r="AA591" s="31">
        <f t="shared" si="94"/>
        <v>3503.8170000000005</v>
      </c>
      <c r="AB591" s="31">
        <f t="shared" si="94"/>
        <v>15425.56384</v>
      </c>
      <c r="AC591" s="31">
        <f t="shared" si="94"/>
        <v>4302.09654</v>
      </c>
      <c r="AD591" s="31">
        <f t="shared" si="94"/>
        <v>0</v>
      </c>
      <c r="AE591" s="31">
        <f t="shared" si="94"/>
        <v>0</v>
      </c>
      <c r="AF591" s="31">
        <f t="shared" si="94"/>
        <v>0</v>
      </c>
      <c r="AG591" s="31">
        <f t="shared" si="94"/>
        <v>0</v>
      </c>
      <c r="AH591" s="31">
        <f t="shared" si="94"/>
        <v>8754.795190000003</v>
      </c>
      <c r="AI591" s="31">
        <f t="shared" si="94"/>
        <v>3447.8281500000007</v>
      </c>
      <c r="AJ591" s="31">
        <f t="shared" si="94"/>
        <v>5306.967040000002</v>
      </c>
      <c r="AK591" s="31">
        <f t="shared" si="94"/>
        <v>0</v>
      </c>
      <c r="AL591" s="31">
        <f t="shared" si="94"/>
        <v>9121.55103</v>
      </c>
      <c r="AM591" s="31">
        <f t="shared" si="94"/>
        <v>233.90411</v>
      </c>
      <c r="AN591" s="31">
        <f t="shared" si="94"/>
        <v>93.64992</v>
      </c>
      <c r="AO591" s="31">
        <f t="shared" si="94"/>
        <v>1763.2563</v>
      </c>
      <c r="AP591" s="31">
        <f t="shared" si="94"/>
        <v>2827.7999999999997</v>
      </c>
      <c r="AQ591" s="31">
        <f t="shared" si="94"/>
        <v>1145.5</v>
      </c>
      <c r="AR591" s="31">
        <f t="shared" si="94"/>
        <v>0</v>
      </c>
      <c r="AS591" s="31">
        <f t="shared" si="94"/>
        <v>0</v>
      </c>
      <c r="AT591" s="31">
        <f t="shared" si="94"/>
        <v>0</v>
      </c>
      <c r="AU591" s="31">
        <f t="shared" si="94"/>
        <v>0</v>
      </c>
      <c r="AV591" s="31">
        <f t="shared" si="94"/>
        <v>0</v>
      </c>
      <c r="AW591" s="31">
        <f t="shared" si="94"/>
        <v>241.4162</v>
      </c>
      <c r="AX591" s="31">
        <f t="shared" si="94"/>
        <v>133.12</v>
      </c>
      <c r="AY591" s="31">
        <f t="shared" si="94"/>
        <v>18689.545209999997</v>
      </c>
      <c r="AZ591" s="31">
        <f t="shared" si="94"/>
        <v>9983.24625</v>
      </c>
      <c r="BA591" s="31">
        <f t="shared" si="94"/>
        <v>0</v>
      </c>
      <c r="BB591" s="31">
        <f t="shared" si="94"/>
        <v>0</v>
      </c>
      <c r="BC591" s="31">
        <f t="shared" si="94"/>
        <v>0</v>
      </c>
      <c r="BD591" s="31">
        <f t="shared" si="94"/>
        <v>42504.46752</v>
      </c>
      <c r="BE591" s="31">
        <f t="shared" si="94"/>
        <v>10369.448510000002</v>
      </c>
      <c r="BF591" s="31">
        <f t="shared" si="94"/>
        <v>18771.45463000001</v>
      </c>
      <c r="BG591" s="31">
        <f t="shared" si="94"/>
        <v>11732.717730000002</v>
      </c>
      <c r="BH591" s="31">
        <f t="shared" si="94"/>
        <v>0</v>
      </c>
      <c r="BI591" s="31">
        <f t="shared" si="94"/>
        <v>0</v>
      </c>
      <c r="BJ591" s="31">
        <f t="shared" si="94"/>
        <v>2975.8841400000006</v>
      </c>
      <c r="BK591" s="31">
        <f t="shared" si="94"/>
        <v>0</v>
      </c>
      <c r="BL591" s="31">
        <f t="shared" si="94"/>
        <v>0</v>
      </c>
      <c r="BM591" s="31">
        <f t="shared" si="94"/>
        <v>9799.079679999999</v>
      </c>
      <c r="BN591" s="31">
        <f t="shared" si="94"/>
        <v>0</v>
      </c>
      <c r="BO591" s="31">
        <f aca="true" t="shared" si="95" ref="BO591:BT591">SUBTOTAL(9,BO542:BO590)</f>
        <v>4421.24061</v>
      </c>
      <c r="BP591" s="31">
        <f t="shared" si="95"/>
        <v>7283.30939</v>
      </c>
      <c r="BQ591" s="31">
        <f t="shared" si="95"/>
        <v>13779.4219</v>
      </c>
      <c r="BR591" s="31">
        <f t="shared" si="95"/>
        <v>8241.017100000001</v>
      </c>
      <c r="BS591" s="32">
        <f t="shared" si="95"/>
        <v>0</v>
      </c>
      <c r="BT591" s="32">
        <f t="shared" si="95"/>
        <v>0</v>
      </c>
      <c r="BU591" s="33"/>
      <c r="BV591" s="34"/>
    </row>
    <row r="592" spans="1:73" ht="73.5" customHeight="1" outlineLevel="2">
      <c r="A592" s="36" t="s">
        <v>427</v>
      </c>
      <c r="B592" s="52" t="s">
        <v>561</v>
      </c>
      <c r="C592" s="39">
        <f>D592+E592</f>
        <v>26580.73827</v>
      </c>
      <c r="D592" s="1">
        <f aca="true" t="shared" si="96" ref="D592:D614">F592+J592+N592+R592+T592+Z592+AB592+AD592+AF592+AM592+AO592+AT592+AY592+BF592+BO592+BS592+H592+V592+X592+BQ592+AR592+BH592</f>
        <v>7599.90857</v>
      </c>
      <c r="E592" s="1">
        <f aca="true" t="shared" si="97" ref="E592:E614">G592+I592+K592+L592+M592+O592+P592+Q592+S592+U592+W592+Y592+AA592+AC592+AE592+AG592+AH592+AK592+AL592+AN592+AP592+AQ592+AS592+AU592+AV592+AW592+AX592+AZ592+BA592+BB592+BC592+BD592+BE592+BG592+BI592+BJ592+BK592+BL592+BM592+BN592+BU592+BP592+BR592+BT592</f>
        <v>18980.829700000002</v>
      </c>
      <c r="F592" s="40"/>
      <c r="G592" s="40"/>
      <c r="H592" s="40"/>
      <c r="I592" s="40"/>
      <c r="J592" s="40"/>
      <c r="K592" s="40">
        <v>130.16221</v>
      </c>
      <c r="L592" s="40">
        <f>4499.50255+150.41689</f>
        <v>4649.919440000001</v>
      </c>
      <c r="M592" s="40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0">
        <v>310.81811</v>
      </c>
      <c r="AA592" s="40">
        <v>1535.274</v>
      </c>
      <c r="AB592" s="42"/>
      <c r="AC592" s="41"/>
      <c r="AD592" s="40"/>
      <c r="AE592" s="40"/>
      <c r="AF592" s="40"/>
      <c r="AG592" s="40"/>
      <c r="AH592" s="43">
        <f>653.5125+255.3381+369.5505</f>
        <v>1278.4011</v>
      </c>
      <c r="AI592" s="41">
        <v>369.5505</v>
      </c>
      <c r="AJ592" s="40">
        <v>908.8506</v>
      </c>
      <c r="AK592" s="40"/>
      <c r="AL592" s="40">
        <v>1193.84443</v>
      </c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>
        <v>4376.76573</v>
      </c>
      <c r="AZ592" s="41">
        <v>2946.2589</v>
      </c>
      <c r="BA592" s="41"/>
      <c r="BB592" s="41"/>
      <c r="BC592" s="40"/>
      <c r="BD592" s="40">
        <f>4583.72415+845.65974</f>
        <v>5429.38389</v>
      </c>
      <c r="BE592" s="40"/>
      <c r="BF592" s="40">
        <v>2912.32473</v>
      </c>
      <c r="BG592" s="40">
        <v>1817.58573</v>
      </c>
      <c r="BH592" s="40"/>
      <c r="BI592" s="40"/>
      <c r="BJ592" s="40"/>
      <c r="BK592" s="40"/>
      <c r="BL592" s="40"/>
      <c r="BM592" s="40"/>
      <c r="BN592" s="40"/>
      <c r="BO592" s="41"/>
      <c r="BP592" s="41"/>
      <c r="BQ592" s="41"/>
      <c r="BR592" s="41"/>
      <c r="BS592" s="4"/>
      <c r="BT592" s="22"/>
      <c r="BU592" s="24"/>
    </row>
    <row r="593" spans="1:73" ht="73.5" customHeight="1" outlineLevel="2">
      <c r="A593" s="46" t="s">
        <v>427</v>
      </c>
      <c r="B593" s="26" t="s">
        <v>593</v>
      </c>
      <c r="C593" s="39">
        <f aca="true" t="shared" si="98" ref="C593:C614">D593+E593</f>
        <v>49774.12457</v>
      </c>
      <c r="D593" s="1">
        <f t="shared" si="96"/>
        <v>16062.71171</v>
      </c>
      <c r="E593" s="1">
        <f t="shared" si="97"/>
        <v>33711.41286</v>
      </c>
      <c r="F593" s="22"/>
      <c r="G593" s="22"/>
      <c r="H593" s="22"/>
      <c r="I593" s="22"/>
      <c r="J593" s="22">
        <v>1322.91719</v>
      </c>
      <c r="K593" s="22">
        <v>281.14027</v>
      </c>
      <c r="L593" s="22">
        <f>1755.50172+174.97359</f>
        <v>1930.47531</v>
      </c>
      <c r="M593" s="22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22">
        <v>247.12233</v>
      </c>
      <c r="AA593" s="22">
        <v>750.141</v>
      </c>
      <c r="AB593" s="23">
        <v>1905.73487</v>
      </c>
      <c r="AC593" s="4">
        <f>317.00419+512.8009</f>
        <v>829.80509</v>
      </c>
      <c r="AD593" s="22"/>
      <c r="AE593" s="22"/>
      <c r="AF593" s="22"/>
      <c r="AG593" s="22"/>
      <c r="AH593" s="20">
        <f>1132.4138+199.93455+824.7178+248.1167</f>
        <v>2405.18285</v>
      </c>
      <c r="AI593" s="4">
        <f>824.7178+248.1167</f>
        <v>1072.8345</v>
      </c>
      <c r="AJ593" s="22">
        <v>1332.34835</v>
      </c>
      <c r="AK593" s="22"/>
      <c r="AL593" s="22"/>
      <c r="AM593" s="22">
        <v>4449.39524</v>
      </c>
      <c r="AN593" s="22">
        <v>1761.78912</v>
      </c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>
        <v>5411.13182</v>
      </c>
      <c r="AZ593" s="4">
        <v>5547.21526</v>
      </c>
      <c r="BA593" s="4"/>
      <c r="BB593" s="4"/>
      <c r="BC593" s="22"/>
      <c r="BD593" s="22">
        <f>13549.93493+1014.90932</f>
        <v>14564.84425</v>
      </c>
      <c r="BE593" s="22">
        <v>3108.66718</v>
      </c>
      <c r="BF593" s="22">
        <v>2726.41026</v>
      </c>
      <c r="BG593" s="22">
        <v>1703.077</v>
      </c>
      <c r="BH593" s="22"/>
      <c r="BI593" s="22"/>
      <c r="BJ593" s="22">
        <v>543.40998</v>
      </c>
      <c r="BK593" s="22">
        <v>185.5</v>
      </c>
      <c r="BL593" s="22">
        <v>100.16555</v>
      </c>
      <c r="BM593" s="22"/>
      <c r="BN593" s="22"/>
      <c r="BO593" s="4"/>
      <c r="BP593" s="4"/>
      <c r="BQ593" s="4"/>
      <c r="BR593" s="4"/>
      <c r="BS593" s="4"/>
      <c r="BT593" s="22"/>
      <c r="BU593" s="24"/>
    </row>
    <row r="594" spans="1:73" ht="73.5" customHeight="1" outlineLevel="2">
      <c r="A594" s="46" t="s">
        <v>427</v>
      </c>
      <c r="B594" s="26" t="s">
        <v>260</v>
      </c>
      <c r="C594" s="39">
        <f t="shared" si="98"/>
        <v>53639.93769</v>
      </c>
      <c r="D594" s="1">
        <f t="shared" si="96"/>
        <v>22010.31226</v>
      </c>
      <c r="E594" s="1">
        <f t="shared" si="97"/>
        <v>31629.62543</v>
      </c>
      <c r="F594" s="22"/>
      <c r="G594" s="22"/>
      <c r="H594" s="22">
        <v>132.57752</v>
      </c>
      <c r="I594" s="22">
        <v>48.21</v>
      </c>
      <c r="J594" s="22">
        <v>2635.42229</v>
      </c>
      <c r="K594" s="22">
        <v>831.12842</v>
      </c>
      <c r="L594" s="22">
        <f>1427.78977+166.36843</f>
        <v>1594.1582</v>
      </c>
      <c r="M594" s="22"/>
      <c r="N594" s="4"/>
      <c r="O594" s="4"/>
      <c r="P594" s="4">
        <v>859.02186</v>
      </c>
      <c r="Q594" s="4"/>
      <c r="R594" s="4">
        <v>2849.59289</v>
      </c>
      <c r="S594" s="4">
        <v>1728.94785</v>
      </c>
      <c r="T594" s="4"/>
      <c r="U594" s="4"/>
      <c r="V594" s="4"/>
      <c r="W594" s="4"/>
      <c r="X594" s="4">
        <v>924.55078</v>
      </c>
      <c r="Y594" s="4">
        <v>588.83856</v>
      </c>
      <c r="Z594" s="22">
        <v>866.10593</v>
      </c>
      <c r="AA594" s="22">
        <v>1367.56399</v>
      </c>
      <c r="AB594" s="23">
        <v>271.56477</v>
      </c>
      <c r="AC594" s="4">
        <v>116.54566</v>
      </c>
      <c r="AD594" s="22"/>
      <c r="AE594" s="22"/>
      <c r="AF594" s="22"/>
      <c r="AG594" s="22"/>
      <c r="AH594" s="20">
        <v>1088.3927</v>
      </c>
      <c r="AI594" s="4">
        <f>79.8114+253.7379</f>
        <v>333.5493</v>
      </c>
      <c r="AJ594" s="22">
        <v>754.8434</v>
      </c>
      <c r="AK594" s="22"/>
      <c r="AL594" s="22">
        <v>1851.11145</v>
      </c>
      <c r="AM594" s="22">
        <v>5062.4153</v>
      </c>
      <c r="AN594" s="22">
        <v>2077.8576</v>
      </c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>
        <v>6685.12739</v>
      </c>
      <c r="AZ594" s="4">
        <v>4997.80173</v>
      </c>
      <c r="BA594" s="4"/>
      <c r="BB594" s="4"/>
      <c r="BC594" s="22"/>
      <c r="BD594" s="22">
        <f>6514.74045+202.76778</f>
        <v>6717.50823</v>
      </c>
      <c r="BE594" s="22">
        <v>6146.10989</v>
      </c>
      <c r="BF594" s="22">
        <v>2582.95539</v>
      </c>
      <c r="BG594" s="22">
        <v>1616.42929</v>
      </c>
      <c r="BH594" s="22"/>
      <c r="BI594" s="22"/>
      <c r="BJ594" s="22"/>
      <c r="BK594" s="22"/>
      <c r="BL594" s="22"/>
      <c r="BM594" s="22"/>
      <c r="BN594" s="22"/>
      <c r="BO594" s="4"/>
      <c r="BP594" s="4"/>
      <c r="BQ594" s="4"/>
      <c r="BR594" s="4"/>
      <c r="BS594" s="4"/>
      <c r="BT594" s="22"/>
      <c r="BU594" s="24"/>
    </row>
    <row r="595" spans="1:73" ht="73.5" customHeight="1" outlineLevel="2">
      <c r="A595" s="44" t="s">
        <v>427</v>
      </c>
      <c r="B595" s="26" t="s">
        <v>405</v>
      </c>
      <c r="C595" s="39">
        <f t="shared" si="98"/>
        <v>38216.44797</v>
      </c>
      <c r="D595" s="1">
        <f t="shared" si="96"/>
        <v>12821.966620000001</v>
      </c>
      <c r="E595" s="1">
        <f t="shared" si="97"/>
        <v>25394.481350000002</v>
      </c>
      <c r="F595" s="22"/>
      <c r="G595" s="22"/>
      <c r="H595" s="22">
        <f>2056.05873+224.92446</f>
        <v>2280.9831900000004</v>
      </c>
      <c r="I595" s="22">
        <f>747.6577+81.79071</f>
        <v>829.44841</v>
      </c>
      <c r="J595" s="22">
        <v>215.92758</v>
      </c>
      <c r="K595" s="22">
        <v>90.21112</v>
      </c>
      <c r="L595" s="22">
        <f>2075.87275+221.28958</f>
        <v>2297.16233</v>
      </c>
      <c r="M595" s="22"/>
      <c r="N595" s="4"/>
      <c r="O595" s="4"/>
      <c r="P595" s="4"/>
      <c r="Q595" s="4"/>
      <c r="R595" s="4">
        <v>2452.30294</v>
      </c>
      <c r="S595" s="4">
        <v>1393.6398</v>
      </c>
      <c r="T595" s="4"/>
      <c r="U595" s="4"/>
      <c r="V595" s="4"/>
      <c r="W595" s="4"/>
      <c r="X595" s="4"/>
      <c r="Y595" s="4"/>
      <c r="Z595" s="22">
        <v>475.71049</v>
      </c>
      <c r="AA595" s="22">
        <v>1202.688</v>
      </c>
      <c r="AB595" s="23">
        <v>350.48173</v>
      </c>
      <c r="AC595" s="4">
        <v>144.51662</v>
      </c>
      <c r="AD595" s="22"/>
      <c r="AE595" s="22"/>
      <c r="AF595" s="22"/>
      <c r="AG595" s="22"/>
      <c r="AH595" s="20">
        <v>2090.05995</v>
      </c>
      <c r="AI595" s="4">
        <f>824.7178+477.11735</f>
        <v>1301.8351499999999</v>
      </c>
      <c r="AJ595" s="22">
        <v>788.2248</v>
      </c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>
        <v>3979.40323</v>
      </c>
      <c r="AZ595" s="4">
        <v>3641.3762</v>
      </c>
      <c r="BA595" s="4"/>
      <c r="BB595" s="4"/>
      <c r="BC595" s="22"/>
      <c r="BD595" s="22">
        <v>7160.73867</v>
      </c>
      <c r="BE595" s="22">
        <v>3789.5886</v>
      </c>
      <c r="BF595" s="22">
        <v>3067.15746</v>
      </c>
      <c r="BG595" s="22">
        <v>1917.35162</v>
      </c>
      <c r="BH595" s="22"/>
      <c r="BI595" s="22"/>
      <c r="BJ595" s="22">
        <v>837.70003</v>
      </c>
      <c r="BK595" s="22"/>
      <c r="BL595" s="22"/>
      <c r="BM595" s="22"/>
      <c r="BN595" s="22"/>
      <c r="BO595" s="4"/>
      <c r="BP595" s="4"/>
      <c r="BQ595" s="4"/>
      <c r="BR595" s="4"/>
      <c r="BS595" s="4"/>
      <c r="BT595" s="22"/>
      <c r="BU595" s="24"/>
    </row>
    <row r="596" spans="1:73" ht="73.5" customHeight="1" outlineLevel="2">
      <c r="A596" s="46" t="s">
        <v>427</v>
      </c>
      <c r="B596" s="26" t="s">
        <v>293</v>
      </c>
      <c r="C596" s="39">
        <f t="shared" si="98"/>
        <v>69.20054</v>
      </c>
      <c r="D596" s="1">
        <f t="shared" si="96"/>
        <v>0</v>
      </c>
      <c r="E596" s="1">
        <f t="shared" si="97"/>
        <v>69.20054</v>
      </c>
      <c r="F596" s="22"/>
      <c r="G596" s="22"/>
      <c r="H596" s="22"/>
      <c r="I596" s="22"/>
      <c r="J596" s="22"/>
      <c r="K596" s="22"/>
      <c r="L596" s="22">
        <v>69.20054</v>
      </c>
      <c r="M596" s="22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22"/>
      <c r="AA596" s="22"/>
      <c r="AB596" s="4"/>
      <c r="AC596" s="4"/>
      <c r="AD596" s="22"/>
      <c r="AE596" s="22"/>
      <c r="AF596" s="22"/>
      <c r="AG596" s="22"/>
      <c r="AH596" s="20"/>
      <c r="AI596" s="4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4"/>
      <c r="BA596" s="4"/>
      <c r="BB596" s="4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4"/>
      <c r="BP596" s="4"/>
      <c r="BQ596" s="4"/>
      <c r="BR596" s="4"/>
      <c r="BS596" s="4"/>
      <c r="BT596" s="22"/>
      <c r="BU596" s="24"/>
    </row>
    <row r="597" spans="1:73" ht="73.5" customHeight="1" outlineLevel="2">
      <c r="A597" s="44" t="s">
        <v>427</v>
      </c>
      <c r="B597" s="26" t="s">
        <v>353</v>
      </c>
      <c r="C597" s="39">
        <f t="shared" si="98"/>
        <v>764.71218</v>
      </c>
      <c r="D597" s="1">
        <f t="shared" si="96"/>
        <v>219.82202</v>
      </c>
      <c r="E597" s="1">
        <f t="shared" si="97"/>
        <v>544.89016</v>
      </c>
      <c r="F597" s="22"/>
      <c r="G597" s="22"/>
      <c r="H597" s="22"/>
      <c r="I597" s="22"/>
      <c r="J597" s="22"/>
      <c r="K597" s="22"/>
      <c r="L597" s="22"/>
      <c r="M597" s="22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22"/>
      <c r="AA597" s="22"/>
      <c r="AB597" s="23">
        <v>104.97257</v>
      </c>
      <c r="AC597" s="4">
        <v>46.61826</v>
      </c>
      <c r="AD597" s="22"/>
      <c r="AE597" s="22"/>
      <c r="AF597" s="22"/>
      <c r="AG597" s="22"/>
      <c r="AH597" s="20">
        <v>56.26045</v>
      </c>
      <c r="AI597" s="4">
        <v>33.7272</v>
      </c>
      <c r="AJ597" s="22">
        <v>22.53325</v>
      </c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4"/>
      <c r="BA597" s="4"/>
      <c r="BB597" s="4"/>
      <c r="BC597" s="22"/>
      <c r="BD597" s="22">
        <v>370.2223</v>
      </c>
      <c r="BE597" s="22"/>
      <c r="BF597" s="22">
        <v>114.84945</v>
      </c>
      <c r="BG597" s="22">
        <v>71.78915</v>
      </c>
      <c r="BH597" s="22"/>
      <c r="BI597" s="22"/>
      <c r="BJ597" s="22"/>
      <c r="BK597" s="22"/>
      <c r="BL597" s="22"/>
      <c r="BM597" s="22"/>
      <c r="BN597" s="22"/>
      <c r="BO597" s="4"/>
      <c r="BP597" s="4"/>
      <c r="BQ597" s="4"/>
      <c r="BR597" s="4"/>
      <c r="BS597" s="4"/>
      <c r="BT597" s="22"/>
      <c r="BU597" s="24"/>
    </row>
    <row r="598" spans="1:73" ht="73.5" customHeight="1" outlineLevel="2">
      <c r="A598" s="44" t="s">
        <v>427</v>
      </c>
      <c r="B598" s="26" t="s">
        <v>111</v>
      </c>
      <c r="C598" s="39">
        <f t="shared" si="98"/>
        <v>8435.73731</v>
      </c>
      <c r="D598" s="1">
        <f t="shared" si="96"/>
        <v>3443.7487</v>
      </c>
      <c r="E598" s="1">
        <f t="shared" si="97"/>
        <v>4991.988609999999</v>
      </c>
      <c r="F598" s="22"/>
      <c r="G598" s="22"/>
      <c r="H598" s="22"/>
      <c r="I598" s="22"/>
      <c r="J598" s="22">
        <v>13.04754</v>
      </c>
      <c r="K598" s="22">
        <v>1.34706</v>
      </c>
      <c r="L598" s="22">
        <f>188.63857+15.8388</f>
        <v>204.47736999999998</v>
      </c>
      <c r="M598" s="22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22">
        <v>69.50316</v>
      </c>
      <c r="AA598" s="22">
        <v>238.293</v>
      </c>
      <c r="AB598" s="23">
        <v>758.86156</v>
      </c>
      <c r="AC598" s="4">
        <v>313.04164</v>
      </c>
      <c r="AD598" s="22"/>
      <c r="AE598" s="22"/>
      <c r="AF598" s="22"/>
      <c r="AG598" s="22"/>
      <c r="AH598" s="20">
        <v>810.83412</v>
      </c>
      <c r="AI598" s="4">
        <v>339.9285</v>
      </c>
      <c r="AJ598" s="22">
        <v>470.90562</v>
      </c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>
        <v>929.42239</v>
      </c>
      <c r="AZ598" s="4">
        <v>1011.49997</v>
      </c>
      <c r="BA598" s="4"/>
      <c r="BB598" s="4"/>
      <c r="BC598" s="22"/>
      <c r="BD598" s="22">
        <f>96.9171+79.0125</f>
        <v>175.9296</v>
      </c>
      <c r="BE598" s="22">
        <v>1181.59993</v>
      </c>
      <c r="BF598" s="22">
        <v>1672.91405</v>
      </c>
      <c r="BG598" s="22">
        <v>1046.68985</v>
      </c>
      <c r="BH598" s="22"/>
      <c r="BI598" s="22"/>
      <c r="BJ598" s="22">
        <v>8.27607</v>
      </c>
      <c r="BK598" s="22"/>
      <c r="BL598" s="22"/>
      <c r="BM598" s="22"/>
      <c r="BN598" s="22"/>
      <c r="BO598" s="4"/>
      <c r="BP598" s="4"/>
      <c r="BQ598" s="4"/>
      <c r="BR598" s="4"/>
      <c r="BS598" s="4"/>
      <c r="BT598" s="22"/>
      <c r="BU598" s="24"/>
    </row>
    <row r="599" spans="1:73" ht="73.5" customHeight="1" outlineLevel="2">
      <c r="A599" s="44" t="s">
        <v>427</v>
      </c>
      <c r="B599" s="26" t="s">
        <v>352</v>
      </c>
      <c r="C599" s="39">
        <f t="shared" si="98"/>
        <v>190.41763</v>
      </c>
      <c r="D599" s="1">
        <f t="shared" si="96"/>
        <v>104.02024</v>
      </c>
      <c r="E599" s="1">
        <f t="shared" si="97"/>
        <v>86.39739</v>
      </c>
      <c r="F599" s="22"/>
      <c r="G599" s="22"/>
      <c r="H599" s="22"/>
      <c r="I599" s="22"/>
      <c r="J599" s="22"/>
      <c r="K599" s="22"/>
      <c r="L599" s="22"/>
      <c r="M599" s="22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22"/>
      <c r="AA599" s="22"/>
      <c r="AB599" s="23">
        <v>44.36613</v>
      </c>
      <c r="AC599" s="4">
        <v>21.4444</v>
      </c>
      <c r="AD599" s="22"/>
      <c r="AE599" s="22"/>
      <c r="AF599" s="22"/>
      <c r="AG599" s="22"/>
      <c r="AH599" s="20">
        <v>27.67956</v>
      </c>
      <c r="AI599" s="4">
        <v>16.8636</v>
      </c>
      <c r="AJ599" s="22">
        <v>10.81596</v>
      </c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4"/>
      <c r="BA599" s="4"/>
      <c r="BB599" s="4"/>
      <c r="BC599" s="22"/>
      <c r="BD599" s="22"/>
      <c r="BE599" s="22"/>
      <c r="BF599" s="22">
        <v>59.65411</v>
      </c>
      <c r="BG599" s="22">
        <v>37.27343</v>
      </c>
      <c r="BH599" s="22"/>
      <c r="BI599" s="22"/>
      <c r="BJ599" s="22"/>
      <c r="BK599" s="22"/>
      <c r="BL599" s="22"/>
      <c r="BM599" s="22"/>
      <c r="BN599" s="22"/>
      <c r="BO599" s="4"/>
      <c r="BP599" s="4"/>
      <c r="BQ599" s="4"/>
      <c r="BR599" s="4"/>
      <c r="BS599" s="4"/>
      <c r="BT599" s="22"/>
      <c r="BU599" s="24"/>
    </row>
    <row r="600" spans="1:73" ht="73.5" customHeight="1" outlineLevel="2">
      <c r="A600" s="46" t="s">
        <v>427</v>
      </c>
      <c r="B600" s="26" t="s">
        <v>112</v>
      </c>
      <c r="C600" s="39">
        <f t="shared" si="98"/>
        <v>21906.38462</v>
      </c>
      <c r="D600" s="1">
        <f t="shared" si="96"/>
        <v>11853.28035</v>
      </c>
      <c r="E600" s="1">
        <f t="shared" si="97"/>
        <v>10053.10427</v>
      </c>
      <c r="F600" s="22"/>
      <c r="G600" s="22"/>
      <c r="H600" s="22"/>
      <c r="I600" s="22"/>
      <c r="J600" s="22">
        <v>102.22013</v>
      </c>
      <c r="K600" s="22">
        <v>68.17784</v>
      </c>
      <c r="L600" s="22">
        <f>702.74947+73.84344</f>
        <v>776.59291</v>
      </c>
      <c r="M600" s="22"/>
      <c r="N600" s="4"/>
      <c r="O600" s="4"/>
      <c r="P600" s="4">
        <v>1053.9468</v>
      </c>
      <c r="Q600" s="4"/>
      <c r="R600" s="4"/>
      <c r="S600" s="4"/>
      <c r="T600" s="4"/>
      <c r="U600" s="4"/>
      <c r="V600" s="4"/>
      <c r="W600" s="4"/>
      <c r="X600" s="4"/>
      <c r="Y600" s="4"/>
      <c r="Z600" s="22">
        <v>89.96797</v>
      </c>
      <c r="AA600" s="22">
        <v>268.722</v>
      </c>
      <c r="AB600" s="23">
        <v>333.72022</v>
      </c>
      <c r="AC600" s="4">
        <v>144.51662</v>
      </c>
      <c r="AD600" s="22"/>
      <c r="AE600" s="22"/>
      <c r="AF600" s="22"/>
      <c r="AG600" s="22"/>
      <c r="AH600" s="20">
        <v>1089.72241</v>
      </c>
      <c r="AI600" s="4">
        <v>467.69235</v>
      </c>
      <c r="AJ600" s="22">
        <v>622.03006</v>
      </c>
      <c r="AK600" s="22"/>
      <c r="AL600" s="22"/>
      <c r="AM600" s="22">
        <v>3830.90041</v>
      </c>
      <c r="AN600" s="22">
        <v>1262.81064</v>
      </c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>
        <v>4655.11344</v>
      </c>
      <c r="AZ600" s="4">
        <v>2843.27463</v>
      </c>
      <c r="BA600" s="4"/>
      <c r="BB600" s="4"/>
      <c r="BC600" s="22"/>
      <c r="BD600" s="22"/>
      <c r="BE600" s="22">
        <v>682.88248</v>
      </c>
      <c r="BF600" s="22">
        <f>2852.55958-11.2014</f>
        <v>2841.35818</v>
      </c>
      <c r="BG600" s="22">
        <f>1781.76058-7.0338</f>
        <v>1774.72678</v>
      </c>
      <c r="BH600" s="22"/>
      <c r="BI600" s="22"/>
      <c r="BJ600" s="22">
        <v>87.73116</v>
      </c>
      <c r="BK600" s="22"/>
      <c r="BL600" s="22"/>
      <c r="BM600" s="22"/>
      <c r="BN600" s="22"/>
      <c r="BO600" s="4"/>
      <c r="BP600" s="4"/>
      <c r="BQ600" s="4"/>
      <c r="BR600" s="4"/>
      <c r="BS600" s="4"/>
      <c r="BT600" s="22"/>
      <c r="BU600" s="24"/>
    </row>
    <row r="601" spans="1:73" ht="73.5" customHeight="1" outlineLevel="2">
      <c r="A601" s="46" t="s">
        <v>427</v>
      </c>
      <c r="B601" s="26" t="s">
        <v>548</v>
      </c>
      <c r="C601" s="39">
        <f t="shared" si="98"/>
        <v>17951.99494</v>
      </c>
      <c r="D601" s="1">
        <f t="shared" si="96"/>
        <v>10061.05551</v>
      </c>
      <c r="E601" s="1">
        <f t="shared" si="97"/>
        <v>7890.93943</v>
      </c>
      <c r="F601" s="22"/>
      <c r="G601" s="22"/>
      <c r="H601" s="22"/>
      <c r="I601" s="22"/>
      <c r="J601" s="22">
        <v>433.99132</v>
      </c>
      <c r="K601" s="22">
        <v>155.27492</v>
      </c>
      <c r="L601" s="22">
        <f>263.12961+18.46841</f>
        <v>281.59802</v>
      </c>
      <c r="M601" s="22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22">
        <v>34</v>
      </c>
      <c r="AA601" s="22">
        <v>53.901</v>
      </c>
      <c r="AB601" s="23"/>
      <c r="AC601" s="4"/>
      <c r="AD601" s="22"/>
      <c r="AE601" s="22"/>
      <c r="AF601" s="22"/>
      <c r="AG601" s="22"/>
      <c r="AH601" s="20">
        <f>855.3807+310.74165+79.8114+432.8324</f>
        <v>1678.7661500000002</v>
      </c>
      <c r="AI601" s="4">
        <f>79.8114+432.8324</f>
        <v>512.6438</v>
      </c>
      <c r="AJ601" s="22">
        <v>1166.12235</v>
      </c>
      <c r="AK601" s="22"/>
      <c r="AL601" s="22"/>
      <c r="AM601" s="22">
        <v>3551.58084</v>
      </c>
      <c r="AN601" s="22">
        <v>1177.9404</v>
      </c>
      <c r="AO601" s="22"/>
      <c r="AP601" s="22"/>
      <c r="AQ601" s="22"/>
      <c r="AR601" s="22"/>
      <c r="AS601" s="22"/>
      <c r="AT601" s="22"/>
      <c r="AU601" s="22"/>
      <c r="AV601" s="22"/>
      <c r="AW601" s="22">
        <v>74.07</v>
      </c>
      <c r="AX601" s="22"/>
      <c r="AY601" s="22">
        <v>4147.95927</v>
      </c>
      <c r="AZ601" s="4">
        <v>3286.87499</v>
      </c>
      <c r="BA601" s="4"/>
      <c r="BB601" s="4"/>
      <c r="BC601" s="22"/>
      <c r="BD601" s="22"/>
      <c r="BE601" s="22"/>
      <c r="BF601" s="22">
        <v>1893.52408</v>
      </c>
      <c r="BG601" s="22">
        <v>1182.51395</v>
      </c>
      <c r="BH601" s="22"/>
      <c r="BI601" s="22"/>
      <c r="BJ601" s="22"/>
      <c r="BK601" s="22"/>
      <c r="BL601" s="22"/>
      <c r="BM601" s="22"/>
      <c r="BN601" s="22"/>
      <c r="BO601" s="4"/>
      <c r="BP601" s="4"/>
      <c r="BQ601" s="4"/>
      <c r="BR601" s="4"/>
      <c r="BS601" s="4"/>
      <c r="BT601" s="22"/>
      <c r="BU601" s="24"/>
    </row>
    <row r="602" spans="1:73" ht="73.5" customHeight="1" outlineLevel="2">
      <c r="A602" s="46" t="s">
        <v>427</v>
      </c>
      <c r="B602" s="26" t="s">
        <v>5</v>
      </c>
      <c r="C602" s="39">
        <f t="shared" si="98"/>
        <v>9856.31463</v>
      </c>
      <c r="D602" s="1">
        <f t="shared" si="96"/>
        <v>4166.98495</v>
      </c>
      <c r="E602" s="1">
        <f t="shared" si="97"/>
        <v>5689.32968</v>
      </c>
      <c r="F602" s="22"/>
      <c r="G602" s="22"/>
      <c r="H602" s="22"/>
      <c r="I602" s="22"/>
      <c r="J602" s="22">
        <v>412.97616</v>
      </c>
      <c r="K602" s="22">
        <v>126.32039</v>
      </c>
      <c r="L602" s="22">
        <f>531.05986+55.97326</f>
        <v>587.0331199999999</v>
      </c>
      <c r="M602" s="22"/>
      <c r="N602" s="4"/>
      <c r="O602" s="4"/>
      <c r="P602" s="4">
        <v>328.17726</v>
      </c>
      <c r="Q602" s="4"/>
      <c r="R602" s="4"/>
      <c r="S602" s="4"/>
      <c r="T602" s="4"/>
      <c r="U602" s="4"/>
      <c r="V602" s="4"/>
      <c r="W602" s="4"/>
      <c r="X602" s="4"/>
      <c r="Y602" s="4"/>
      <c r="Z602" s="22">
        <v>72.39912</v>
      </c>
      <c r="AA602" s="22">
        <v>219.6765</v>
      </c>
      <c r="AB602" s="23">
        <v>238.28773</v>
      </c>
      <c r="AC602" s="4">
        <v>105.82346</v>
      </c>
      <c r="AD602" s="22"/>
      <c r="AE602" s="22"/>
      <c r="AF602" s="22"/>
      <c r="AG602" s="22"/>
      <c r="AH602" s="20">
        <v>432.04712</v>
      </c>
      <c r="AI602" s="4">
        <v>164.5291</v>
      </c>
      <c r="AJ602" s="22">
        <v>267.51802</v>
      </c>
      <c r="AK602" s="22"/>
      <c r="AL602" s="22">
        <v>54.9</v>
      </c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>
        <v>2183.50111</v>
      </c>
      <c r="AZ602" s="4">
        <v>1596.30468</v>
      </c>
      <c r="BA602" s="4"/>
      <c r="BB602" s="4"/>
      <c r="BC602" s="22"/>
      <c r="BD602" s="22">
        <v>1313.75381</v>
      </c>
      <c r="BE602" s="22"/>
      <c r="BF602" s="22">
        <v>1259.82083</v>
      </c>
      <c r="BG602" s="22">
        <v>786.53819</v>
      </c>
      <c r="BH602" s="22"/>
      <c r="BI602" s="22"/>
      <c r="BJ602" s="22">
        <v>138.75515</v>
      </c>
      <c r="BK602" s="22"/>
      <c r="BL602" s="22"/>
      <c r="BM602" s="22"/>
      <c r="BN602" s="22"/>
      <c r="BO602" s="4"/>
      <c r="BP602" s="4"/>
      <c r="BQ602" s="4"/>
      <c r="BR602" s="4"/>
      <c r="BS602" s="4"/>
      <c r="BT602" s="22"/>
      <c r="BU602" s="24"/>
    </row>
    <row r="603" spans="1:73" ht="73.5" customHeight="1" outlineLevel="2">
      <c r="A603" s="44" t="s">
        <v>427</v>
      </c>
      <c r="B603" s="26" t="s">
        <v>497</v>
      </c>
      <c r="C603" s="39">
        <f t="shared" si="98"/>
        <v>814.7301500000001</v>
      </c>
      <c r="D603" s="1">
        <f t="shared" si="96"/>
        <v>424.14682</v>
      </c>
      <c r="E603" s="1">
        <f t="shared" si="97"/>
        <v>390.58333000000005</v>
      </c>
      <c r="F603" s="22"/>
      <c r="G603" s="22"/>
      <c r="H603" s="22"/>
      <c r="I603" s="22"/>
      <c r="J603" s="22">
        <v>134.24065</v>
      </c>
      <c r="K603" s="22">
        <v>82.691</v>
      </c>
      <c r="L603" s="22"/>
      <c r="M603" s="22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22"/>
      <c r="AA603" s="22"/>
      <c r="AB603" s="23">
        <v>116.17614</v>
      </c>
      <c r="AC603" s="4">
        <v>52.44555</v>
      </c>
      <c r="AD603" s="22"/>
      <c r="AE603" s="22"/>
      <c r="AF603" s="22"/>
      <c r="AG603" s="22"/>
      <c r="AH603" s="20">
        <v>79.22014</v>
      </c>
      <c r="AI603" s="4">
        <v>44.9696</v>
      </c>
      <c r="AJ603" s="22">
        <v>34.25054</v>
      </c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4"/>
      <c r="BA603" s="4"/>
      <c r="BB603" s="4"/>
      <c r="BC603" s="22"/>
      <c r="BD603" s="22"/>
      <c r="BE603" s="22">
        <v>67.64248</v>
      </c>
      <c r="BF603" s="22">
        <v>173.73003</v>
      </c>
      <c r="BG603" s="22">
        <v>108.58416</v>
      </c>
      <c r="BH603" s="22"/>
      <c r="BI603" s="22"/>
      <c r="BJ603" s="22"/>
      <c r="BK603" s="22"/>
      <c r="BL603" s="22"/>
      <c r="BM603" s="22"/>
      <c r="BN603" s="22"/>
      <c r="BO603" s="4"/>
      <c r="BP603" s="4"/>
      <c r="BQ603" s="4"/>
      <c r="BR603" s="4"/>
      <c r="BS603" s="4"/>
      <c r="BT603" s="22"/>
      <c r="BU603" s="24"/>
    </row>
    <row r="604" spans="1:73" ht="73.5" customHeight="1" outlineLevel="2">
      <c r="A604" s="44" t="s">
        <v>427</v>
      </c>
      <c r="B604" s="26" t="s">
        <v>115</v>
      </c>
      <c r="C604" s="39">
        <f t="shared" si="98"/>
        <v>1798.00646</v>
      </c>
      <c r="D604" s="1">
        <f t="shared" si="96"/>
        <v>1016.34426</v>
      </c>
      <c r="E604" s="1">
        <f t="shared" si="97"/>
        <v>781.6622</v>
      </c>
      <c r="F604" s="22"/>
      <c r="G604" s="22"/>
      <c r="H604" s="22"/>
      <c r="I604" s="22"/>
      <c r="J604" s="22"/>
      <c r="K604" s="22"/>
      <c r="L604" s="22"/>
      <c r="M604" s="22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22">
        <v>119.06419</v>
      </c>
      <c r="AA604" s="22">
        <v>66.6405</v>
      </c>
      <c r="AB604" s="23">
        <v>184.32306</v>
      </c>
      <c r="AC604" s="4">
        <v>82.04814</v>
      </c>
      <c r="AD604" s="22"/>
      <c r="AE604" s="22"/>
      <c r="AF604" s="22"/>
      <c r="AG604" s="22"/>
      <c r="AH604" s="20">
        <v>188.24632</v>
      </c>
      <c r="AI604" s="4">
        <f>26.6038+93.6999</f>
        <v>120.30369999999999</v>
      </c>
      <c r="AJ604" s="22">
        <v>67.94262</v>
      </c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4"/>
      <c r="BA604" s="4"/>
      <c r="BB604" s="4"/>
      <c r="BC604" s="22"/>
      <c r="BD604" s="22"/>
      <c r="BE604" s="22"/>
      <c r="BF604" s="22">
        <v>712.95701</v>
      </c>
      <c r="BG604" s="22">
        <v>444.72724</v>
      </c>
      <c r="BH604" s="22"/>
      <c r="BI604" s="22"/>
      <c r="BJ604" s="22"/>
      <c r="BK604" s="22"/>
      <c r="BL604" s="22"/>
      <c r="BM604" s="22"/>
      <c r="BN604" s="22"/>
      <c r="BO604" s="4"/>
      <c r="BP604" s="4"/>
      <c r="BQ604" s="4"/>
      <c r="BR604" s="4"/>
      <c r="BS604" s="4"/>
      <c r="BT604" s="22"/>
      <c r="BU604" s="24"/>
    </row>
    <row r="605" spans="1:73" ht="73.5" customHeight="1" outlineLevel="2">
      <c r="A605" s="44" t="s">
        <v>427</v>
      </c>
      <c r="B605" s="26" t="s">
        <v>193</v>
      </c>
      <c r="C605" s="39">
        <f t="shared" si="98"/>
        <v>191.22479</v>
      </c>
      <c r="D605" s="1">
        <f t="shared" si="96"/>
        <v>104.0747</v>
      </c>
      <c r="E605" s="1">
        <f t="shared" si="97"/>
        <v>87.15009</v>
      </c>
      <c r="F605" s="22"/>
      <c r="G605" s="22"/>
      <c r="H605" s="22"/>
      <c r="I605" s="22"/>
      <c r="J605" s="22"/>
      <c r="K605" s="22"/>
      <c r="L605" s="22"/>
      <c r="M605" s="22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22"/>
      <c r="AA605" s="22"/>
      <c r="AB605" s="23">
        <v>41.31925</v>
      </c>
      <c r="AC605" s="4">
        <v>20.27894</v>
      </c>
      <c r="AD605" s="22"/>
      <c r="AE605" s="22"/>
      <c r="AF605" s="22"/>
      <c r="AG605" s="22"/>
      <c r="AH605" s="20">
        <v>27.67956</v>
      </c>
      <c r="AI605" s="4">
        <v>16.8636</v>
      </c>
      <c r="AJ605" s="22">
        <v>10.81596</v>
      </c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4"/>
      <c r="BA605" s="4"/>
      <c r="BB605" s="4"/>
      <c r="BC605" s="22"/>
      <c r="BD605" s="22"/>
      <c r="BE605" s="22"/>
      <c r="BF605" s="22">
        <v>62.75545</v>
      </c>
      <c r="BG605" s="22">
        <v>39.19159</v>
      </c>
      <c r="BH605" s="22"/>
      <c r="BI605" s="22"/>
      <c r="BJ605" s="22"/>
      <c r="BK605" s="22"/>
      <c r="BL605" s="22"/>
      <c r="BM605" s="22"/>
      <c r="BN605" s="22"/>
      <c r="BO605" s="4"/>
      <c r="BP605" s="4"/>
      <c r="BQ605" s="4"/>
      <c r="BR605" s="4"/>
      <c r="BS605" s="4"/>
      <c r="BT605" s="22"/>
      <c r="BU605" s="24"/>
    </row>
    <row r="606" spans="1:73" ht="73.5" customHeight="1" outlineLevel="2">
      <c r="A606" s="46" t="s">
        <v>427</v>
      </c>
      <c r="B606" s="26" t="s">
        <v>475</v>
      </c>
      <c r="C606" s="39">
        <f t="shared" si="98"/>
        <v>129.15922</v>
      </c>
      <c r="D606" s="1">
        <f t="shared" si="96"/>
        <v>82.48683</v>
      </c>
      <c r="E606" s="1">
        <f t="shared" si="97"/>
        <v>46.67239</v>
      </c>
      <c r="F606" s="22"/>
      <c r="G606" s="22"/>
      <c r="H606" s="22"/>
      <c r="I606" s="22"/>
      <c r="J606" s="22"/>
      <c r="K606" s="22"/>
      <c r="L606" s="22"/>
      <c r="M606" s="22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22"/>
      <c r="AA606" s="22"/>
      <c r="AB606" s="23">
        <v>32.01054</v>
      </c>
      <c r="AC606" s="4">
        <v>15.15094</v>
      </c>
      <c r="AD606" s="22"/>
      <c r="AE606" s="22"/>
      <c r="AF606" s="22"/>
      <c r="AG606" s="22"/>
      <c r="AH606" s="20"/>
      <c r="AI606" s="4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4"/>
      <c r="BA606" s="4"/>
      <c r="BB606" s="4"/>
      <c r="BC606" s="22"/>
      <c r="BD606" s="22"/>
      <c r="BE606" s="22"/>
      <c r="BF606" s="22">
        <v>50.47629</v>
      </c>
      <c r="BG606" s="22">
        <v>31.52145</v>
      </c>
      <c r="BH606" s="22"/>
      <c r="BI606" s="22"/>
      <c r="BJ606" s="22"/>
      <c r="BK606" s="22"/>
      <c r="BL606" s="22"/>
      <c r="BM606" s="22"/>
      <c r="BN606" s="22"/>
      <c r="BO606" s="4"/>
      <c r="BP606" s="4"/>
      <c r="BQ606" s="4"/>
      <c r="BR606" s="4"/>
      <c r="BS606" s="4"/>
      <c r="BT606" s="22"/>
      <c r="BU606" s="24"/>
    </row>
    <row r="607" spans="1:73" ht="73.5" customHeight="1" outlineLevel="2">
      <c r="A607" s="46" t="s">
        <v>427</v>
      </c>
      <c r="B607" s="26" t="s">
        <v>941</v>
      </c>
      <c r="C607" s="39">
        <f t="shared" si="98"/>
        <v>25.021900000000002</v>
      </c>
      <c r="D607" s="1">
        <f t="shared" si="96"/>
        <v>15.38997</v>
      </c>
      <c r="E607" s="1">
        <f t="shared" si="97"/>
        <v>9.63193</v>
      </c>
      <c r="F607" s="22"/>
      <c r="G607" s="22"/>
      <c r="H607" s="22"/>
      <c r="I607" s="22"/>
      <c r="J607" s="22"/>
      <c r="K607" s="22"/>
      <c r="L607" s="22"/>
      <c r="M607" s="22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22"/>
      <c r="AA607" s="22"/>
      <c r="AB607" s="23"/>
      <c r="AC607" s="4"/>
      <c r="AD607" s="22"/>
      <c r="AE607" s="22"/>
      <c r="AF607" s="22"/>
      <c r="AG607" s="22"/>
      <c r="AH607" s="20"/>
      <c r="AI607" s="4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4"/>
      <c r="BA607" s="4"/>
      <c r="BB607" s="4"/>
      <c r="BC607" s="22"/>
      <c r="BD607" s="22"/>
      <c r="BE607" s="22"/>
      <c r="BF607" s="22">
        <v>15.38997</v>
      </c>
      <c r="BG607" s="22">
        <v>9.63193</v>
      </c>
      <c r="BH607" s="22"/>
      <c r="BI607" s="22"/>
      <c r="BJ607" s="22"/>
      <c r="BK607" s="22"/>
      <c r="BL607" s="22"/>
      <c r="BM607" s="22"/>
      <c r="BN607" s="22"/>
      <c r="BO607" s="4"/>
      <c r="BP607" s="4"/>
      <c r="BQ607" s="4"/>
      <c r="BR607" s="4"/>
      <c r="BS607" s="4"/>
      <c r="BT607" s="22"/>
      <c r="BU607" s="24"/>
    </row>
    <row r="608" spans="1:73" ht="73.5" customHeight="1" outlineLevel="2">
      <c r="A608" s="46" t="s">
        <v>427</v>
      </c>
      <c r="B608" s="26" t="s">
        <v>942</v>
      </c>
      <c r="C608" s="39">
        <f>D608+E608</f>
        <v>2933.1</v>
      </c>
      <c r="D608" s="1">
        <f t="shared" si="96"/>
        <v>0</v>
      </c>
      <c r="E608" s="1">
        <f t="shared" si="97"/>
        <v>2933.1</v>
      </c>
      <c r="F608" s="22"/>
      <c r="G608" s="22"/>
      <c r="H608" s="22"/>
      <c r="I608" s="22"/>
      <c r="J608" s="22"/>
      <c r="K608" s="22"/>
      <c r="L608" s="22"/>
      <c r="M608" s="22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22"/>
      <c r="AA608" s="22"/>
      <c r="AB608" s="23"/>
      <c r="AC608" s="4"/>
      <c r="AD608" s="22"/>
      <c r="AE608" s="22"/>
      <c r="AF608" s="22"/>
      <c r="AG608" s="22"/>
      <c r="AH608" s="20"/>
      <c r="AI608" s="4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4"/>
      <c r="BA608" s="4"/>
      <c r="BB608" s="4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4"/>
      <c r="BP608" s="4">
        <v>2933.1</v>
      </c>
      <c r="BQ608" s="4"/>
      <c r="BR608" s="4"/>
      <c r="BS608" s="4"/>
      <c r="BT608" s="22"/>
      <c r="BU608" s="24"/>
    </row>
    <row r="609" spans="1:73" ht="73.5" customHeight="1" outlineLevel="2">
      <c r="A609" s="46" t="s">
        <v>427</v>
      </c>
      <c r="B609" s="26" t="s">
        <v>943</v>
      </c>
      <c r="C609" s="39">
        <f t="shared" si="98"/>
        <v>643.6021000000001</v>
      </c>
      <c r="D609" s="1">
        <f t="shared" si="96"/>
        <v>416.35913</v>
      </c>
      <c r="E609" s="1">
        <f t="shared" si="97"/>
        <v>227.24297</v>
      </c>
      <c r="F609" s="22"/>
      <c r="G609" s="22"/>
      <c r="H609" s="22"/>
      <c r="I609" s="22"/>
      <c r="J609" s="22"/>
      <c r="K609" s="22"/>
      <c r="L609" s="22"/>
      <c r="M609" s="22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22"/>
      <c r="AA609" s="22"/>
      <c r="AB609" s="23">
        <v>201.25994</v>
      </c>
      <c r="AC609" s="4">
        <v>92.07107</v>
      </c>
      <c r="AD609" s="22"/>
      <c r="AE609" s="22"/>
      <c r="AF609" s="22"/>
      <c r="AG609" s="22"/>
      <c r="AH609" s="20"/>
      <c r="AI609" s="4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4"/>
      <c r="BA609" s="4"/>
      <c r="BB609" s="4"/>
      <c r="BC609" s="22"/>
      <c r="BD609" s="22"/>
      <c r="BE609" s="22"/>
      <c r="BF609" s="22">
        <v>215.09919</v>
      </c>
      <c r="BG609" s="22">
        <v>135.1719</v>
      </c>
      <c r="BH609" s="22"/>
      <c r="BI609" s="22"/>
      <c r="BJ609" s="22"/>
      <c r="BK609" s="22"/>
      <c r="BL609" s="22"/>
      <c r="BM609" s="22"/>
      <c r="BN609" s="22"/>
      <c r="BO609" s="4"/>
      <c r="BP609" s="4"/>
      <c r="BQ609" s="4"/>
      <c r="BR609" s="4"/>
      <c r="BS609" s="4"/>
      <c r="BT609" s="22"/>
      <c r="BU609" s="24"/>
    </row>
    <row r="610" spans="1:73" ht="73.5" customHeight="1" outlineLevel="2">
      <c r="A610" s="46" t="s">
        <v>427</v>
      </c>
      <c r="B610" s="26" t="s">
        <v>944</v>
      </c>
      <c r="C610" s="39">
        <f>D610+E610</f>
        <v>65.61103</v>
      </c>
      <c r="D610" s="1">
        <f t="shared" si="96"/>
        <v>37.42771</v>
      </c>
      <c r="E610" s="1">
        <f t="shared" si="97"/>
        <v>28.18332</v>
      </c>
      <c r="F610" s="22"/>
      <c r="G610" s="22"/>
      <c r="H610" s="22"/>
      <c r="I610" s="22"/>
      <c r="J610" s="22"/>
      <c r="K610" s="22"/>
      <c r="L610" s="22"/>
      <c r="M610" s="22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22"/>
      <c r="AA610" s="22"/>
      <c r="AB610" s="23">
        <v>37.42771</v>
      </c>
      <c r="AC610" s="4">
        <v>17.71494</v>
      </c>
      <c r="AD610" s="22"/>
      <c r="AE610" s="22"/>
      <c r="AF610" s="22"/>
      <c r="AG610" s="22"/>
      <c r="AH610" s="20"/>
      <c r="AI610" s="4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4">
        <v>10.46838</v>
      </c>
      <c r="BA610" s="4"/>
      <c r="BB610" s="4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4"/>
      <c r="BP610" s="4"/>
      <c r="BQ610" s="4"/>
      <c r="BR610" s="4"/>
      <c r="BS610" s="4"/>
      <c r="BT610" s="22"/>
      <c r="BU610" s="24"/>
    </row>
    <row r="611" spans="1:73" ht="73.5" customHeight="1" outlineLevel="2">
      <c r="A611" s="46" t="s">
        <v>427</v>
      </c>
      <c r="B611" s="26" t="s">
        <v>387</v>
      </c>
      <c r="C611" s="39">
        <f t="shared" si="98"/>
        <v>48.6035</v>
      </c>
      <c r="D611" s="1">
        <f t="shared" si="96"/>
        <v>0</v>
      </c>
      <c r="E611" s="1">
        <f t="shared" si="97"/>
        <v>48.6035</v>
      </c>
      <c r="F611" s="22"/>
      <c r="G611" s="22"/>
      <c r="H611" s="22"/>
      <c r="I611" s="22"/>
      <c r="J611" s="22"/>
      <c r="K611" s="22"/>
      <c r="L611" s="22"/>
      <c r="M611" s="22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22"/>
      <c r="AA611" s="22"/>
      <c r="AB611" s="4"/>
      <c r="AC611" s="4"/>
      <c r="AD611" s="22"/>
      <c r="AE611" s="22"/>
      <c r="AF611" s="22"/>
      <c r="AG611" s="22"/>
      <c r="AH611" s="20"/>
      <c r="AI611" s="4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4"/>
      <c r="BA611" s="4"/>
      <c r="BB611" s="4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>
        <v>48.6035</v>
      </c>
      <c r="BN611" s="22"/>
      <c r="BO611" s="4"/>
      <c r="BP611" s="4"/>
      <c r="BQ611" s="4"/>
      <c r="BR611" s="4"/>
      <c r="BS611" s="4"/>
      <c r="BT611" s="22"/>
      <c r="BU611" s="24"/>
    </row>
    <row r="612" spans="1:73" ht="73.5" customHeight="1" outlineLevel="2">
      <c r="A612" s="46" t="s">
        <v>427</v>
      </c>
      <c r="B612" s="26" t="s">
        <v>362</v>
      </c>
      <c r="C612" s="39">
        <f t="shared" si="98"/>
        <v>1686.54106</v>
      </c>
      <c r="D612" s="1">
        <f t="shared" si="96"/>
        <v>0</v>
      </c>
      <c r="E612" s="1">
        <f t="shared" si="97"/>
        <v>1686.54106</v>
      </c>
      <c r="F612" s="22"/>
      <c r="G612" s="22"/>
      <c r="H612" s="22"/>
      <c r="I612" s="22"/>
      <c r="J612" s="22"/>
      <c r="K612" s="22"/>
      <c r="L612" s="22"/>
      <c r="M612" s="22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22"/>
      <c r="AA612" s="22"/>
      <c r="AB612" s="4"/>
      <c r="AC612" s="4"/>
      <c r="AD612" s="22"/>
      <c r="AE612" s="22"/>
      <c r="AF612" s="22"/>
      <c r="AG612" s="22"/>
      <c r="AH612" s="20"/>
      <c r="AI612" s="4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4"/>
      <c r="BA612" s="4"/>
      <c r="BB612" s="4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>
        <v>1686.54106</v>
      </c>
      <c r="BN612" s="22"/>
      <c r="BO612" s="4"/>
      <c r="BP612" s="4"/>
      <c r="BQ612" s="4"/>
      <c r="BR612" s="4"/>
      <c r="BS612" s="4"/>
      <c r="BT612" s="22"/>
      <c r="BU612" s="24"/>
    </row>
    <row r="613" spans="1:73" ht="73.5" customHeight="1" outlineLevel="2">
      <c r="A613" s="46" t="s">
        <v>427</v>
      </c>
      <c r="B613" s="26" t="s">
        <v>365</v>
      </c>
      <c r="C613" s="39">
        <f t="shared" si="98"/>
        <v>1287.7902</v>
      </c>
      <c r="D613" s="1">
        <f t="shared" si="96"/>
        <v>0</v>
      </c>
      <c r="E613" s="1">
        <f t="shared" si="97"/>
        <v>1287.7902</v>
      </c>
      <c r="F613" s="22"/>
      <c r="G613" s="22"/>
      <c r="H613" s="22"/>
      <c r="I613" s="22"/>
      <c r="J613" s="22"/>
      <c r="K613" s="22"/>
      <c r="L613" s="22"/>
      <c r="M613" s="22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22"/>
      <c r="AA613" s="22"/>
      <c r="AB613" s="4"/>
      <c r="AC613" s="4"/>
      <c r="AD613" s="22"/>
      <c r="AE613" s="22"/>
      <c r="AF613" s="22"/>
      <c r="AG613" s="22"/>
      <c r="AH613" s="20"/>
      <c r="AI613" s="4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4"/>
      <c r="BA613" s="4"/>
      <c r="BB613" s="4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>
        <v>1287.7902</v>
      </c>
      <c r="BN613" s="22"/>
      <c r="BO613" s="4"/>
      <c r="BP613" s="4"/>
      <c r="BQ613" s="4"/>
      <c r="BR613" s="4"/>
      <c r="BS613" s="4"/>
      <c r="BT613" s="22"/>
      <c r="BU613" s="24"/>
    </row>
    <row r="614" spans="1:73" ht="73.5" customHeight="1" outlineLevel="2" thickBot="1">
      <c r="A614" s="46" t="s">
        <v>427</v>
      </c>
      <c r="B614" s="26" t="s">
        <v>587</v>
      </c>
      <c r="C614" s="39">
        <f t="shared" si="98"/>
        <v>6050.90282</v>
      </c>
      <c r="D614" s="1">
        <f t="shared" si="96"/>
        <v>0</v>
      </c>
      <c r="E614" s="1">
        <f t="shared" si="97"/>
        <v>6050.90282</v>
      </c>
      <c r="F614" s="22"/>
      <c r="G614" s="22"/>
      <c r="H614" s="22"/>
      <c r="I614" s="22"/>
      <c r="J614" s="22"/>
      <c r="K614" s="22"/>
      <c r="L614" s="22"/>
      <c r="M614" s="22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22"/>
      <c r="AA614" s="22"/>
      <c r="AB614" s="4"/>
      <c r="AC614" s="4"/>
      <c r="AD614" s="22"/>
      <c r="AE614" s="22"/>
      <c r="AF614" s="22"/>
      <c r="AG614" s="22"/>
      <c r="AH614" s="20"/>
      <c r="AI614" s="4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4"/>
      <c r="BA614" s="4"/>
      <c r="BB614" s="4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>
        <v>6050.90282</v>
      </c>
      <c r="BN614" s="22"/>
      <c r="BO614" s="4"/>
      <c r="BP614" s="4"/>
      <c r="BQ614" s="4"/>
      <c r="BR614" s="4"/>
      <c r="BS614" s="4"/>
      <c r="BT614" s="22"/>
      <c r="BU614" s="24"/>
    </row>
    <row r="615" spans="1:74" s="35" customFormat="1" ht="73.5" customHeight="1" outlineLevel="1" thickBot="1">
      <c r="A615" s="53" t="s">
        <v>194</v>
      </c>
      <c r="B615" s="54"/>
      <c r="C615" s="31">
        <f aca="true" t="shared" si="99" ref="C615:BN615">SUBTOTAL(9,C592:C614)</f>
        <v>243060.30357999998</v>
      </c>
      <c r="D615" s="31">
        <f t="shared" si="99"/>
        <v>90440.04034999998</v>
      </c>
      <c r="E615" s="31">
        <f t="shared" si="99"/>
        <v>152620.26322999995</v>
      </c>
      <c r="F615" s="31">
        <f t="shared" si="99"/>
        <v>0</v>
      </c>
      <c r="G615" s="31">
        <f t="shared" si="99"/>
        <v>0</v>
      </c>
      <c r="H615" s="31">
        <f t="shared" si="99"/>
        <v>2413.56071</v>
      </c>
      <c r="I615" s="31">
        <f t="shared" si="99"/>
        <v>877.65841</v>
      </c>
      <c r="J615" s="31">
        <f t="shared" si="99"/>
        <v>5270.7428599999985</v>
      </c>
      <c r="K615" s="31">
        <f t="shared" si="99"/>
        <v>1766.45323</v>
      </c>
      <c r="L615" s="31">
        <f t="shared" si="99"/>
        <v>12390.61724</v>
      </c>
      <c r="M615" s="31">
        <f t="shared" si="99"/>
        <v>0</v>
      </c>
      <c r="N615" s="31">
        <f t="shared" si="99"/>
        <v>0</v>
      </c>
      <c r="O615" s="31">
        <f t="shared" si="99"/>
        <v>0</v>
      </c>
      <c r="P615" s="31">
        <f t="shared" si="99"/>
        <v>2241.14592</v>
      </c>
      <c r="Q615" s="31">
        <f t="shared" si="99"/>
        <v>0</v>
      </c>
      <c r="R615" s="31">
        <f t="shared" si="99"/>
        <v>5301.8958299999995</v>
      </c>
      <c r="S615" s="31">
        <f t="shared" si="99"/>
        <v>3122.58765</v>
      </c>
      <c r="T615" s="31">
        <f t="shared" si="99"/>
        <v>0</v>
      </c>
      <c r="U615" s="31">
        <f t="shared" si="99"/>
        <v>0</v>
      </c>
      <c r="V615" s="31">
        <f t="shared" si="99"/>
        <v>0</v>
      </c>
      <c r="W615" s="31">
        <f t="shared" si="99"/>
        <v>0</v>
      </c>
      <c r="X615" s="31">
        <f t="shared" si="99"/>
        <v>924.55078</v>
      </c>
      <c r="Y615" s="31">
        <f t="shared" si="99"/>
        <v>588.83856</v>
      </c>
      <c r="Z615" s="31">
        <f t="shared" si="99"/>
        <v>2284.6913</v>
      </c>
      <c r="AA615" s="31">
        <f t="shared" si="99"/>
        <v>5702.899989999999</v>
      </c>
      <c r="AB615" s="31">
        <f t="shared" si="99"/>
        <v>4620.506219999999</v>
      </c>
      <c r="AC615" s="31">
        <f t="shared" si="99"/>
        <v>2002.0213299999998</v>
      </c>
      <c r="AD615" s="31">
        <f t="shared" si="99"/>
        <v>0</v>
      </c>
      <c r="AE615" s="31">
        <f t="shared" si="99"/>
        <v>0</v>
      </c>
      <c r="AF615" s="31">
        <f t="shared" si="99"/>
        <v>0</v>
      </c>
      <c r="AG615" s="31">
        <f t="shared" si="99"/>
        <v>0</v>
      </c>
      <c r="AH615" s="31">
        <f t="shared" si="99"/>
        <v>11252.492429999998</v>
      </c>
      <c r="AI615" s="31">
        <f t="shared" si="99"/>
        <v>4795.2909</v>
      </c>
      <c r="AJ615" s="31">
        <f t="shared" si="99"/>
        <v>6457.201529999999</v>
      </c>
      <c r="AK615" s="31">
        <f t="shared" si="99"/>
        <v>0</v>
      </c>
      <c r="AL615" s="31">
        <f t="shared" si="99"/>
        <v>3099.8558800000005</v>
      </c>
      <c r="AM615" s="31">
        <f t="shared" si="99"/>
        <v>16894.29179</v>
      </c>
      <c r="AN615" s="31">
        <f t="shared" si="99"/>
        <v>6280.39776</v>
      </c>
      <c r="AO615" s="31">
        <f t="shared" si="99"/>
        <v>0</v>
      </c>
      <c r="AP615" s="31">
        <f t="shared" si="99"/>
        <v>0</v>
      </c>
      <c r="AQ615" s="31">
        <f t="shared" si="99"/>
        <v>0</v>
      </c>
      <c r="AR615" s="31">
        <f t="shared" si="99"/>
        <v>0</v>
      </c>
      <c r="AS615" s="31">
        <f t="shared" si="99"/>
        <v>0</v>
      </c>
      <c r="AT615" s="31">
        <f t="shared" si="99"/>
        <v>0</v>
      </c>
      <c r="AU615" s="31">
        <f t="shared" si="99"/>
        <v>0</v>
      </c>
      <c r="AV615" s="31">
        <f t="shared" si="99"/>
        <v>0</v>
      </c>
      <c r="AW615" s="31">
        <f t="shared" si="99"/>
        <v>74.07</v>
      </c>
      <c r="AX615" s="31">
        <f t="shared" si="99"/>
        <v>0</v>
      </c>
      <c r="AY615" s="31">
        <f t="shared" si="99"/>
        <v>32368.42438</v>
      </c>
      <c r="AZ615" s="31">
        <f t="shared" si="99"/>
        <v>25881.07474</v>
      </c>
      <c r="BA615" s="31">
        <f t="shared" si="99"/>
        <v>0</v>
      </c>
      <c r="BB615" s="31">
        <f t="shared" si="99"/>
        <v>0</v>
      </c>
      <c r="BC615" s="31">
        <f t="shared" si="99"/>
        <v>0</v>
      </c>
      <c r="BD615" s="31">
        <f t="shared" si="99"/>
        <v>35732.380750000004</v>
      </c>
      <c r="BE615" s="31">
        <f t="shared" si="99"/>
        <v>14976.49056</v>
      </c>
      <c r="BF615" s="31">
        <f t="shared" si="99"/>
        <v>20361.376479999995</v>
      </c>
      <c r="BG615" s="31">
        <f t="shared" si="99"/>
        <v>12722.803259999999</v>
      </c>
      <c r="BH615" s="31">
        <f t="shared" si="99"/>
        <v>0</v>
      </c>
      <c r="BI615" s="31">
        <f t="shared" si="99"/>
        <v>0</v>
      </c>
      <c r="BJ615" s="31">
        <f t="shared" si="99"/>
        <v>1615.8723899999998</v>
      </c>
      <c r="BK615" s="31">
        <f t="shared" si="99"/>
        <v>185.5</v>
      </c>
      <c r="BL615" s="31">
        <f t="shared" si="99"/>
        <v>100.16555</v>
      </c>
      <c r="BM615" s="31">
        <f t="shared" si="99"/>
        <v>9073.83758</v>
      </c>
      <c r="BN615" s="31">
        <f t="shared" si="99"/>
        <v>0</v>
      </c>
      <c r="BO615" s="31">
        <f aca="true" t="shared" si="100" ref="BO615:BT615">SUBTOTAL(9,BO592:BO614)</f>
        <v>0</v>
      </c>
      <c r="BP615" s="31">
        <f t="shared" si="100"/>
        <v>2933.1</v>
      </c>
      <c r="BQ615" s="31">
        <f t="shared" si="100"/>
        <v>0</v>
      </c>
      <c r="BR615" s="31">
        <f t="shared" si="100"/>
        <v>0</v>
      </c>
      <c r="BS615" s="32">
        <f t="shared" si="100"/>
        <v>0</v>
      </c>
      <c r="BT615" s="32">
        <f t="shared" si="100"/>
        <v>0</v>
      </c>
      <c r="BU615" s="33"/>
      <c r="BV615" s="34"/>
    </row>
    <row r="616" spans="1:73" ht="73.5" customHeight="1" outlineLevel="2">
      <c r="A616" s="46" t="s">
        <v>195</v>
      </c>
      <c r="B616" s="26" t="s">
        <v>239</v>
      </c>
      <c r="C616" s="39">
        <f aca="true" t="shared" si="101" ref="C616:C635">D616+E616</f>
        <v>8529.05757</v>
      </c>
      <c r="D616" s="1">
        <f aca="true" t="shared" si="102" ref="D616:D635">F616+J616+N616+R616+T616+Z616+AB616+AD616+AF616+AM616+AO616+AT616+AY616+BF616+BO616+BS616+H616+V616+X616+BQ616+AR616+BH616</f>
        <v>4158.31953</v>
      </c>
      <c r="E616" s="1">
        <f aca="true" t="shared" si="103" ref="E616:E635">G616+I616+K616+L616+M616+O616+P616+Q616+S616+U616+W616+Y616+AA616+AC616+AE616+AG616+AH616+AK616+AL616+AN616+AP616+AQ616+AS616+AU616+AV616+AW616+AX616+AZ616+BA616+BB616+BC616+BD616+BE616+BG616+BI616+BJ616+BK616+BL616+BM616+BN616+BU616+BP616+BR616+BT616</f>
        <v>4370.73804</v>
      </c>
      <c r="F616" s="22"/>
      <c r="G616" s="22"/>
      <c r="H616" s="22"/>
      <c r="I616" s="22"/>
      <c r="J616" s="22">
        <v>285.67855</v>
      </c>
      <c r="K616" s="22">
        <v>119.16539</v>
      </c>
      <c r="L616" s="22"/>
      <c r="M616" s="22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22">
        <v>69.50316</v>
      </c>
      <c r="AA616" s="22">
        <v>60.0615</v>
      </c>
      <c r="AB616" s="23">
        <v>279.49154</v>
      </c>
      <c r="AC616" s="4">
        <v>102.32709</v>
      </c>
      <c r="AD616" s="22"/>
      <c r="AE616" s="22"/>
      <c r="AF616" s="22"/>
      <c r="AG616" s="22"/>
      <c r="AH616" s="20">
        <f>58.58645+85.45415</f>
        <v>144.04059999999998</v>
      </c>
      <c r="AI616" s="4">
        <v>85.45415</v>
      </c>
      <c r="AJ616" s="22">
        <v>58.58645</v>
      </c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>
        <v>2678.16093</v>
      </c>
      <c r="AZ616" s="22">
        <v>2708.78024</v>
      </c>
      <c r="BA616" s="22"/>
      <c r="BB616" s="22"/>
      <c r="BC616" s="22"/>
      <c r="BD616" s="22">
        <v>266.9849</v>
      </c>
      <c r="BE616" s="22"/>
      <c r="BF616" s="22">
        <v>845.48535</v>
      </c>
      <c r="BG616" s="22">
        <v>527.97205</v>
      </c>
      <c r="BH616" s="22"/>
      <c r="BI616" s="22"/>
      <c r="BJ616" s="22">
        <v>441.40627</v>
      </c>
      <c r="BK616" s="22"/>
      <c r="BL616" s="22"/>
      <c r="BM616" s="22"/>
      <c r="BN616" s="22"/>
      <c r="BO616" s="4"/>
      <c r="BP616" s="4"/>
      <c r="BQ616" s="4"/>
      <c r="BR616" s="4"/>
      <c r="BS616" s="4"/>
      <c r="BT616" s="22"/>
      <c r="BU616" s="24"/>
    </row>
    <row r="617" spans="1:73" ht="73.5" customHeight="1" outlineLevel="2">
      <c r="A617" s="46" t="s">
        <v>195</v>
      </c>
      <c r="B617" s="26" t="s">
        <v>31</v>
      </c>
      <c r="C617" s="39">
        <f t="shared" si="101"/>
        <v>372.55278</v>
      </c>
      <c r="D617" s="1">
        <f t="shared" si="102"/>
        <v>221.66951</v>
      </c>
      <c r="E617" s="1">
        <f t="shared" si="103"/>
        <v>150.88326999999998</v>
      </c>
      <c r="F617" s="22"/>
      <c r="G617" s="22"/>
      <c r="H617" s="22"/>
      <c r="I617" s="22"/>
      <c r="J617" s="22"/>
      <c r="K617" s="22"/>
      <c r="L617" s="22"/>
      <c r="M617" s="22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22"/>
      <c r="AA617" s="22"/>
      <c r="AB617" s="23">
        <v>62.10674</v>
      </c>
      <c r="AC617" s="4">
        <v>23.30913</v>
      </c>
      <c r="AD617" s="22"/>
      <c r="AE617" s="22"/>
      <c r="AF617" s="22"/>
      <c r="AG617" s="22"/>
      <c r="AH617" s="20">
        <v>27.94123</v>
      </c>
      <c r="AI617" s="4"/>
      <c r="AJ617" s="22">
        <v>27.94123</v>
      </c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4"/>
      <c r="BA617" s="4"/>
      <c r="BB617" s="4"/>
      <c r="BC617" s="22"/>
      <c r="BD617" s="22"/>
      <c r="BE617" s="22"/>
      <c r="BF617" s="22">
        <v>159.56277</v>
      </c>
      <c r="BG617" s="22">
        <v>99.63291</v>
      </c>
      <c r="BH617" s="22"/>
      <c r="BI617" s="22"/>
      <c r="BJ617" s="22"/>
      <c r="BK617" s="22"/>
      <c r="BL617" s="22"/>
      <c r="BM617" s="22"/>
      <c r="BN617" s="22"/>
      <c r="BO617" s="4"/>
      <c r="BP617" s="4"/>
      <c r="BQ617" s="4"/>
      <c r="BR617" s="4"/>
      <c r="BS617" s="4"/>
      <c r="BT617" s="22"/>
      <c r="BU617" s="24"/>
    </row>
    <row r="618" spans="1:73" ht="73.5" customHeight="1" outlineLevel="2">
      <c r="A618" s="46" t="s">
        <v>195</v>
      </c>
      <c r="B618" s="26" t="s">
        <v>32</v>
      </c>
      <c r="C618" s="39">
        <f t="shared" si="101"/>
        <v>189.59255000000002</v>
      </c>
      <c r="D618" s="1">
        <f t="shared" si="102"/>
        <v>107.43137</v>
      </c>
      <c r="E618" s="1">
        <f t="shared" si="103"/>
        <v>82.16118</v>
      </c>
      <c r="F618" s="22"/>
      <c r="G618" s="22"/>
      <c r="H618" s="22"/>
      <c r="I618" s="22"/>
      <c r="J618" s="22"/>
      <c r="K618" s="22"/>
      <c r="L618" s="22"/>
      <c r="M618" s="22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22">
        <v>8.68789</v>
      </c>
      <c r="AA618" s="22">
        <v>18.1035</v>
      </c>
      <c r="AB618" s="23">
        <v>30.68804</v>
      </c>
      <c r="AC618" s="4">
        <v>11.65457</v>
      </c>
      <c r="AD618" s="22"/>
      <c r="AE618" s="22"/>
      <c r="AF618" s="22"/>
      <c r="AG618" s="22"/>
      <c r="AH618" s="20">
        <v>9.91463</v>
      </c>
      <c r="AI618" s="4"/>
      <c r="AJ618" s="22">
        <v>9.91463</v>
      </c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4"/>
      <c r="BA618" s="4"/>
      <c r="BB618" s="4"/>
      <c r="BC618" s="22"/>
      <c r="BD618" s="22"/>
      <c r="BE618" s="22"/>
      <c r="BF618" s="22">
        <v>68.05544</v>
      </c>
      <c r="BG618" s="22">
        <v>42.48848</v>
      </c>
      <c r="BH618" s="22"/>
      <c r="BI618" s="22"/>
      <c r="BJ618" s="22"/>
      <c r="BK618" s="22"/>
      <c r="BL618" s="22"/>
      <c r="BM618" s="22"/>
      <c r="BN618" s="22"/>
      <c r="BO618" s="4"/>
      <c r="BP618" s="4"/>
      <c r="BQ618" s="4"/>
      <c r="BR618" s="4"/>
      <c r="BS618" s="4"/>
      <c r="BT618" s="22"/>
      <c r="BU618" s="24"/>
    </row>
    <row r="619" spans="1:73" ht="73.5" customHeight="1" outlineLevel="2">
      <c r="A619" s="46" t="s">
        <v>195</v>
      </c>
      <c r="B619" s="26" t="s">
        <v>186</v>
      </c>
      <c r="C619" s="39">
        <f t="shared" si="101"/>
        <v>55.445170000000005</v>
      </c>
      <c r="D619" s="1">
        <f t="shared" si="102"/>
        <v>34.11723</v>
      </c>
      <c r="E619" s="1">
        <f t="shared" si="103"/>
        <v>21.32794</v>
      </c>
      <c r="F619" s="22"/>
      <c r="G619" s="22"/>
      <c r="H619" s="22"/>
      <c r="I619" s="22"/>
      <c r="J619" s="22"/>
      <c r="K619" s="22"/>
      <c r="L619" s="22"/>
      <c r="M619" s="22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22"/>
      <c r="AA619" s="22"/>
      <c r="AB619" s="4"/>
      <c r="AC619" s="4"/>
      <c r="AD619" s="22"/>
      <c r="AE619" s="22"/>
      <c r="AF619" s="22"/>
      <c r="AG619" s="22"/>
      <c r="AH619" s="20"/>
      <c r="AI619" s="4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4"/>
      <c r="BA619" s="4"/>
      <c r="BB619" s="4"/>
      <c r="BC619" s="22"/>
      <c r="BD619" s="22"/>
      <c r="BE619" s="22"/>
      <c r="BF619" s="22">
        <v>34.11723</v>
      </c>
      <c r="BG619" s="22">
        <v>21.32794</v>
      </c>
      <c r="BH619" s="22"/>
      <c r="BI619" s="22"/>
      <c r="BJ619" s="22"/>
      <c r="BK619" s="22"/>
      <c r="BL619" s="22"/>
      <c r="BM619" s="22"/>
      <c r="BN619" s="22"/>
      <c r="BO619" s="4"/>
      <c r="BP619" s="4"/>
      <c r="BQ619" s="4"/>
      <c r="BR619" s="4"/>
      <c r="BS619" s="4"/>
      <c r="BT619" s="22"/>
      <c r="BU619" s="24"/>
    </row>
    <row r="620" spans="1:73" ht="73.5" customHeight="1" outlineLevel="2">
      <c r="A620" s="46" t="s">
        <v>195</v>
      </c>
      <c r="B620" s="26" t="s">
        <v>945</v>
      </c>
      <c r="C620" s="39">
        <f t="shared" si="101"/>
        <v>75.58798</v>
      </c>
      <c r="D620" s="1">
        <f t="shared" si="102"/>
        <v>63.93341</v>
      </c>
      <c r="E620" s="1">
        <f t="shared" si="103"/>
        <v>11.65457</v>
      </c>
      <c r="F620" s="22"/>
      <c r="G620" s="22"/>
      <c r="H620" s="22"/>
      <c r="I620" s="22"/>
      <c r="J620" s="22"/>
      <c r="K620" s="22"/>
      <c r="L620" s="22"/>
      <c r="M620" s="22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22"/>
      <c r="AA620" s="22"/>
      <c r="AB620" s="23">
        <v>63.93341</v>
      </c>
      <c r="AC620" s="4">
        <v>11.65457</v>
      </c>
      <c r="AD620" s="22"/>
      <c r="AE620" s="22"/>
      <c r="AF620" s="22"/>
      <c r="AG620" s="22"/>
      <c r="AH620" s="20"/>
      <c r="AI620" s="4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4"/>
      <c r="BA620" s="4"/>
      <c r="BB620" s="4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4"/>
      <c r="BP620" s="4"/>
      <c r="BQ620" s="4"/>
      <c r="BR620" s="4"/>
      <c r="BS620" s="4"/>
      <c r="BT620" s="22"/>
      <c r="BU620" s="24"/>
    </row>
    <row r="621" spans="1:73" ht="73.5" customHeight="1" outlineLevel="2">
      <c r="A621" s="46" t="s">
        <v>195</v>
      </c>
      <c r="B621" s="26" t="s">
        <v>946</v>
      </c>
      <c r="C621" s="39">
        <f t="shared" si="101"/>
        <v>9.06367</v>
      </c>
      <c r="D621" s="1">
        <f t="shared" si="102"/>
        <v>5.58606</v>
      </c>
      <c r="E621" s="1">
        <f t="shared" si="103"/>
        <v>3.47761</v>
      </c>
      <c r="F621" s="22"/>
      <c r="G621" s="22"/>
      <c r="H621" s="22"/>
      <c r="I621" s="22"/>
      <c r="J621" s="22"/>
      <c r="K621" s="22"/>
      <c r="L621" s="22"/>
      <c r="M621" s="22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22"/>
      <c r="AA621" s="22"/>
      <c r="AB621" s="23"/>
      <c r="AC621" s="4"/>
      <c r="AD621" s="22"/>
      <c r="AE621" s="22"/>
      <c r="AF621" s="22"/>
      <c r="AG621" s="22"/>
      <c r="AH621" s="20"/>
      <c r="AI621" s="4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4"/>
      <c r="BA621" s="4"/>
      <c r="BB621" s="4"/>
      <c r="BC621" s="22"/>
      <c r="BD621" s="22"/>
      <c r="BE621" s="22"/>
      <c r="BF621" s="22">
        <v>5.58606</v>
      </c>
      <c r="BG621" s="22">
        <v>3.47761</v>
      </c>
      <c r="BH621" s="22"/>
      <c r="BI621" s="22"/>
      <c r="BJ621" s="22"/>
      <c r="BK621" s="22"/>
      <c r="BL621" s="22"/>
      <c r="BM621" s="22"/>
      <c r="BN621" s="22"/>
      <c r="BO621" s="4"/>
      <c r="BP621" s="4"/>
      <c r="BQ621" s="4"/>
      <c r="BR621" s="4"/>
      <c r="BS621" s="4"/>
      <c r="BT621" s="22"/>
      <c r="BU621" s="24"/>
    </row>
    <row r="622" spans="1:73" ht="73.5" customHeight="1" outlineLevel="2">
      <c r="A622" s="46" t="s">
        <v>195</v>
      </c>
      <c r="B622" s="26" t="s">
        <v>947</v>
      </c>
      <c r="C622" s="39">
        <f t="shared" si="101"/>
        <v>74.30932</v>
      </c>
      <c r="D622" s="1">
        <f t="shared" si="102"/>
        <v>50.834289999999996</v>
      </c>
      <c r="E622" s="1">
        <f t="shared" si="103"/>
        <v>23.47503</v>
      </c>
      <c r="F622" s="22"/>
      <c r="G622" s="22"/>
      <c r="H622" s="22"/>
      <c r="I622" s="22"/>
      <c r="J622" s="22"/>
      <c r="K622" s="22"/>
      <c r="L622" s="22"/>
      <c r="M622" s="22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22"/>
      <c r="AA622" s="22"/>
      <c r="AB622" s="4">
        <v>31.90582</v>
      </c>
      <c r="AC622" s="4">
        <v>11.65457</v>
      </c>
      <c r="AD622" s="22"/>
      <c r="AE622" s="22"/>
      <c r="AF622" s="22"/>
      <c r="AG622" s="22"/>
      <c r="AH622" s="20"/>
      <c r="AI622" s="4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4"/>
      <c r="BA622" s="4"/>
      <c r="BB622" s="4"/>
      <c r="BC622" s="22"/>
      <c r="BD622" s="22"/>
      <c r="BE622" s="22"/>
      <c r="BF622" s="22">
        <v>18.92847</v>
      </c>
      <c r="BG622" s="22">
        <v>11.82046</v>
      </c>
      <c r="BH622" s="22"/>
      <c r="BI622" s="22"/>
      <c r="BJ622" s="22"/>
      <c r="BK622" s="22"/>
      <c r="BL622" s="22"/>
      <c r="BM622" s="22"/>
      <c r="BN622" s="22"/>
      <c r="BO622" s="4"/>
      <c r="BP622" s="4"/>
      <c r="BQ622" s="4"/>
      <c r="BR622" s="4"/>
      <c r="BS622" s="4"/>
      <c r="BT622" s="22"/>
      <c r="BU622" s="24"/>
    </row>
    <row r="623" spans="1:73" ht="73.5" customHeight="1" outlineLevel="2">
      <c r="A623" s="46" t="s">
        <v>195</v>
      </c>
      <c r="B623" s="26" t="s">
        <v>948</v>
      </c>
      <c r="C623" s="39">
        <f t="shared" si="101"/>
        <v>777.5969299999999</v>
      </c>
      <c r="D623" s="1">
        <f t="shared" si="102"/>
        <v>0</v>
      </c>
      <c r="E623" s="1">
        <f t="shared" si="103"/>
        <v>777.5969299999999</v>
      </c>
      <c r="F623" s="22"/>
      <c r="G623" s="22"/>
      <c r="H623" s="22"/>
      <c r="I623" s="22"/>
      <c r="J623" s="22"/>
      <c r="K623" s="22"/>
      <c r="L623" s="22"/>
      <c r="M623" s="22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22"/>
      <c r="AA623" s="22"/>
      <c r="AB623" s="4"/>
      <c r="AC623" s="4"/>
      <c r="AD623" s="22"/>
      <c r="AE623" s="22"/>
      <c r="AF623" s="22"/>
      <c r="AG623" s="22"/>
      <c r="AH623" s="20"/>
      <c r="AI623" s="4"/>
      <c r="AJ623" s="22"/>
      <c r="AK623" s="22"/>
      <c r="AL623" s="22">
        <v>336.91366</v>
      </c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4">
        <v>120.84407</v>
      </c>
      <c r="BA623" s="4"/>
      <c r="BB623" s="4"/>
      <c r="BC623" s="22"/>
      <c r="BD623" s="22">
        <v>147.3392</v>
      </c>
      <c r="BE623" s="22">
        <v>172.5</v>
      </c>
      <c r="BF623" s="22"/>
      <c r="BG623" s="22"/>
      <c r="BH623" s="22"/>
      <c r="BI623" s="22"/>
      <c r="BJ623" s="22"/>
      <c r="BK623" s="22"/>
      <c r="BL623" s="22"/>
      <c r="BM623" s="22"/>
      <c r="BN623" s="22"/>
      <c r="BO623" s="4"/>
      <c r="BP623" s="4"/>
      <c r="BQ623" s="4"/>
      <c r="BR623" s="4"/>
      <c r="BS623" s="4"/>
      <c r="BT623" s="22"/>
      <c r="BU623" s="24"/>
    </row>
    <row r="624" spans="1:73" ht="73.5" customHeight="1" outlineLevel="2">
      <c r="A624" s="46" t="s">
        <v>195</v>
      </c>
      <c r="B624" s="26" t="s">
        <v>92</v>
      </c>
      <c r="C624" s="39">
        <f t="shared" si="101"/>
        <v>231.0875</v>
      </c>
      <c r="D624" s="1">
        <f t="shared" si="102"/>
        <v>0</v>
      </c>
      <c r="E624" s="1">
        <f t="shared" si="103"/>
        <v>231.0875</v>
      </c>
      <c r="F624" s="22"/>
      <c r="G624" s="22"/>
      <c r="H624" s="22"/>
      <c r="I624" s="22"/>
      <c r="J624" s="22"/>
      <c r="K624" s="22"/>
      <c r="L624" s="22"/>
      <c r="M624" s="22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22"/>
      <c r="AA624" s="22"/>
      <c r="AB624" s="23"/>
      <c r="AC624" s="4"/>
      <c r="AD624" s="22"/>
      <c r="AE624" s="22"/>
      <c r="AF624" s="22"/>
      <c r="AG624" s="22"/>
      <c r="AH624" s="20"/>
      <c r="AI624" s="4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4"/>
      <c r="BA624" s="4"/>
      <c r="BB624" s="4"/>
      <c r="BC624" s="22"/>
      <c r="BD624" s="22"/>
      <c r="BE624" s="22"/>
      <c r="BF624" s="22"/>
      <c r="BG624" s="22"/>
      <c r="BH624" s="22"/>
      <c r="BI624" s="22"/>
      <c r="BJ624" s="22">
        <v>231.0875</v>
      </c>
      <c r="BK624" s="22"/>
      <c r="BL624" s="22"/>
      <c r="BM624" s="22"/>
      <c r="BN624" s="22"/>
      <c r="BO624" s="4"/>
      <c r="BP624" s="4"/>
      <c r="BQ624" s="4"/>
      <c r="BR624" s="4"/>
      <c r="BS624" s="4"/>
      <c r="BT624" s="22"/>
      <c r="BU624" s="24"/>
    </row>
    <row r="625" spans="1:73" ht="73.5" customHeight="1" outlineLevel="2">
      <c r="A625" s="46" t="s">
        <v>195</v>
      </c>
      <c r="B625" s="26" t="s">
        <v>572</v>
      </c>
      <c r="C625" s="39">
        <f t="shared" si="101"/>
        <v>24.466169999999998</v>
      </c>
      <c r="D625" s="1">
        <f t="shared" si="102"/>
        <v>15.05828</v>
      </c>
      <c r="E625" s="1">
        <f t="shared" si="103"/>
        <v>9.40789</v>
      </c>
      <c r="F625" s="22"/>
      <c r="G625" s="22"/>
      <c r="H625" s="22"/>
      <c r="I625" s="22"/>
      <c r="J625" s="22"/>
      <c r="K625" s="22"/>
      <c r="L625" s="22"/>
      <c r="M625" s="22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22"/>
      <c r="AA625" s="22"/>
      <c r="AB625" s="23"/>
      <c r="AC625" s="4"/>
      <c r="AD625" s="22"/>
      <c r="AE625" s="22"/>
      <c r="AF625" s="22"/>
      <c r="AG625" s="22"/>
      <c r="AH625" s="20"/>
      <c r="AI625" s="4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4"/>
      <c r="BA625" s="4"/>
      <c r="BB625" s="4"/>
      <c r="BC625" s="22"/>
      <c r="BD625" s="22"/>
      <c r="BE625" s="22"/>
      <c r="BF625" s="22">
        <v>15.05828</v>
      </c>
      <c r="BG625" s="22">
        <v>9.40789</v>
      </c>
      <c r="BH625" s="22"/>
      <c r="BI625" s="22"/>
      <c r="BJ625" s="22"/>
      <c r="BK625" s="22"/>
      <c r="BL625" s="22"/>
      <c r="BM625" s="22"/>
      <c r="BN625" s="22"/>
      <c r="BO625" s="4"/>
      <c r="BP625" s="4"/>
      <c r="BQ625" s="4"/>
      <c r="BR625" s="4"/>
      <c r="BS625" s="4"/>
      <c r="BT625" s="22"/>
      <c r="BU625" s="24"/>
    </row>
    <row r="626" spans="1:73" ht="73.5" customHeight="1" outlineLevel="2">
      <c r="A626" s="46" t="s">
        <v>195</v>
      </c>
      <c r="B626" s="26" t="s">
        <v>785</v>
      </c>
      <c r="C626" s="39">
        <f>D626+E626</f>
        <v>3471.54</v>
      </c>
      <c r="D626" s="1">
        <f t="shared" si="102"/>
        <v>0</v>
      </c>
      <c r="E626" s="1">
        <f t="shared" si="103"/>
        <v>3471.54</v>
      </c>
      <c r="F626" s="22"/>
      <c r="G626" s="22"/>
      <c r="H626" s="22"/>
      <c r="I626" s="22"/>
      <c r="J626" s="22"/>
      <c r="K626" s="22"/>
      <c r="L626" s="22"/>
      <c r="M626" s="22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22"/>
      <c r="AA626" s="22"/>
      <c r="AB626" s="23"/>
      <c r="AC626" s="4"/>
      <c r="AD626" s="22"/>
      <c r="AE626" s="22"/>
      <c r="AF626" s="22"/>
      <c r="AG626" s="22"/>
      <c r="AH626" s="20"/>
      <c r="AI626" s="4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4"/>
      <c r="BA626" s="4"/>
      <c r="BB626" s="4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4"/>
      <c r="BP626" s="4"/>
      <c r="BQ626" s="4"/>
      <c r="BR626" s="4"/>
      <c r="BS626" s="4"/>
      <c r="BT626" s="22">
        <v>3471.54</v>
      </c>
      <c r="BU626" s="24"/>
    </row>
    <row r="627" spans="1:73" ht="73.5" customHeight="1" outlineLevel="2">
      <c r="A627" s="46" t="s">
        <v>195</v>
      </c>
      <c r="B627" s="59" t="s">
        <v>847</v>
      </c>
      <c r="C627" s="39">
        <f>D627+E627</f>
        <v>2970</v>
      </c>
      <c r="D627" s="1">
        <f t="shared" si="102"/>
        <v>0</v>
      </c>
      <c r="E627" s="1">
        <f t="shared" si="103"/>
        <v>2970</v>
      </c>
      <c r="F627" s="22"/>
      <c r="G627" s="22"/>
      <c r="H627" s="22"/>
      <c r="I627" s="22"/>
      <c r="J627" s="22"/>
      <c r="K627" s="22"/>
      <c r="L627" s="22"/>
      <c r="M627" s="22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22"/>
      <c r="AA627" s="22"/>
      <c r="AB627" s="23"/>
      <c r="AC627" s="4"/>
      <c r="AD627" s="22"/>
      <c r="AE627" s="22"/>
      <c r="AF627" s="22"/>
      <c r="AG627" s="22"/>
      <c r="AH627" s="20"/>
      <c r="AI627" s="4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4"/>
      <c r="BA627" s="4"/>
      <c r="BB627" s="4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4"/>
      <c r="BP627" s="4">
        <v>2970</v>
      </c>
      <c r="BQ627" s="4"/>
      <c r="BR627" s="4"/>
      <c r="BS627" s="4"/>
      <c r="BT627" s="22"/>
      <c r="BU627" s="24"/>
    </row>
    <row r="628" spans="1:73" ht="73.5" customHeight="1" outlineLevel="2">
      <c r="A628" s="111" t="s">
        <v>195</v>
      </c>
      <c r="B628" s="26" t="s">
        <v>584</v>
      </c>
      <c r="C628" s="39">
        <f t="shared" si="101"/>
        <v>582.95831</v>
      </c>
      <c r="D628" s="1">
        <f t="shared" si="102"/>
        <v>371.99855</v>
      </c>
      <c r="E628" s="1">
        <f t="shared" si="103"/>
        <v>210.95976000000002</v>
      </c>
      <c r="F628" s="22"/>
      <c r="G628" s="22"/>
      <c r="H628" s="22"/>
      <c r="I628" s="22"/>
      <c r="J628" s="22"/>
      <c r="K628" s="22"/>
      <c r="L628" s="22"/>
      <c r="M628" s="22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22"/>
      <c r="AA628" s="22"/>
      <c r="AB628" s="23">
        <v>241.6074</v>
      </c>
      <c r="AC628" s="4">
        <v>93.23653</v>
      </c>
      <c r="AD628" s="22"/>
      <c r="AE628" s="22"/>
      <c r="AF628" s="22"/>
      <c r="AG628" s="22"/>
      <c r="AH628" s="20">
        <v>36.13275</v>
      </c>
      <c r="AI628" s="4"/>
      <c r="AJ628" s="20">
        <v>36.13275</v>
      </c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4"/>
      <c r="BA628" s="4"/>
      <c r="BB628" s="4"/>
      <c r="BC628" s="22"/>
      <c r="BD628" s="22"/>
      <c r="BE628" s="22"/>
      <c r="BF628" s="22">
        <v>130.39115</v>
      </c>
      <c r="BG628" s="22">
        <v>81.59048</v>
      </c>
      <c r="BH628" s="22"/>
      <c r="BI628" s="22"/>
      <c r="BJ628" s="22"/>
      <c r="BK628" s="22"/>
      <c r="BL628" s="22"/>
      <c r="BM628" s="22"/>
      <c r="BN628" s="22"/>
      <c r="BO628" s="4"/>
      <c r="BP628" s="4"/>
      <c r="BQ628" s="4"/>
      <c r="BR628" s="4"/>
      <c r="BS628" s="4"/>
      <c r="BT628" s="22"/>
      <c r="BU628" s="24"/>
    </row>
    <row r="629" spans="1:73" ht="73.5" customHeight="1" outlineLevel="2">
      <c r="A629" s="111" t="s">
        <v>195</v>
      </c>
      <c r="B629" s="26" t="s">
        <v>949</v>
      </c>
      <c r="C629" s="39">
        <f t="shared" si="101"/>
        <v>24.79795</v>
      </c>
      <c r="D629" s="1">
        <f t="shared" si="102"/>
        <v>15.22826</v>
      </c>
      <c r="E629" s="1">
        <f t="shared" si="103"/>
        <v>9.56969</v>
      </c>
      <c r="F629" s="22"/>
      <c r="G629" s="22"/>
      <c r="H629" s="22"/>
      <c r="I629" s="22"/>
      <c r="J629" s="22"/>
      <c r="K629" s="22"/>
      <c r="L629" s="22"/>
      <c r="M629" s="22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22"/>
      <c r="AA629" s="22"/>
      <c r="AB629" s="23"/>
      <c r="AC629" s="4"/>
      <c r="AD629" s="22"/>
      <c r="AE629" s="22"/>
      <c r="AF629" s="22"/>
      <c r="AG629" s="22"/>
      <c r="AH629" s="20"/>
      <c r="AI629" s="4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4"/>
      <c r="BA629" s="4"/>
      <c r="BB629" s="4"/>
      <c r="BC629" s="22"/>
      <c r="BD629" s="22"/>
      <c r="BE629" s="22"/>
      <c r="BF629" s="22">
        <v>15.22826</v>
      </c>
      <c r="BG629" s="22">
        <v>9.56969</v>
      </c>
      <c r="BH629" s="22"/>
      <c r="BI629" s="22"/>
      <c r="BJ629" s="22"/>
      <c r="BK629" s="22"/>
      <c r="BL629" s="22"/>
      <c r="BM629" s="22"/>
      <c r="BN629" s="22"/>
      <c r="BO629" s="4"/>
      <c r="BP629" s="4"/>
      <c r="BQ629" s="4"/>
      <c r="BR629" s="4"/>
      <c r="BS629" s="4"/>
      <c r="BT629" s="22"/>
      <c r="BU629" s="24"/>
    </row>
    <row r="630" spans="1:73" ht="73.5" customHeight="1" outlineLevel="2">
      <c r="A630" s="111" t="s">
        <v>195</v>
      </c>
      <c r="B630" s="26" t="s">
        <v>950</v>
      </c>
      <c r="C630" s="39">
        <f t="shared" si="101"/>
        <v>371.787</v>
      </c>
      <c r="D630" s="1">
        <f t="shared" si="102"/>
        <v>304.82912</v>
      </c>
      <c r="E630" s="1">
        <f t="shared" si="103"/>
        <v>66.95788</v>
      </c>
      <c r="F630" s="22"/>
      <c r="G630" s="22"/>
      <c r="H630" s="22"/>
      <c r="I630" s="22"/>
      <c r="J630" s="22"/>
      <c r="K630" s="22"/>
      <c r="L630" s="22"/>
      <c r="M630" s="22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22"/>
      <c r="AA630" s="22"/>
      <c r="AB630" s="23">
        <v>295.31146</v>
      </c>
      <c r="AC630" s="4">
        <v>58.27283</v>
      </c>
      <c r="AD630" s="22"/>
      <c r="AE630" s="22"/>
      <c r="AF630" s="22"/>
      <c r="AG630" s="22"/>
      <c r="AH630" s="20">
        <v>2.70399</v>
      </c>
      <c r="AI630" s="4"/>
      <c r="AJ630" s="20">
        <v>2.70399</v>
      </c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4"/>
      <c r="BA630" s="4"/>
      <c r="BB630" s="4"/>
      <c r="BC630" s="22"/>
      <c r="BD630" s="22"/>
      <c r="BE630" s="22"/>
      <c r="BF630" s="22">
        <v>9.51766</v>
      </c>
      <c r="BG630" s="22">
        <v>5.98106</v>
      </c>
      <c r="BH630" s="22"/>
      <c r="BI630" s="22"/>
      <c r="BJ630" s="22"/>
      <c r="BK630" s="22"/>
      <c r="BL630" s="22"/>
      <c r="BM630" s="22"/>
      <c r="BN630" s="22"/>
      <c r="BO630" s="4"/>
      <c r="BP630" s="4"/>
      <c r="BQ630" s="4"/>
      <c r="BR630" s="4"/>
      <c r="BS630" s="4"/>
      <c r="BT630" s="22"/>
      <c r="BU630" s="24"/>
    </row>
    <row r="631" spans="1:73" ht="73.5" customHeight="1" outlineLevel="2">
      <c r="A631" s="46" t="s">
        <v>195</v>
      </c>
      <c r="B631" s="52" t="s">
        <v>399</v>
      </c>
      <c r="C631" s="39">
        <f t="shared" si="101"/>
        <v>65.49825</v>
      </c>
      <c r="D631" s="1">
        <f t="shared" si="102"/>
        <v>45.9066</v>
      </c>
      <c r="E631" s="1">
        <f t="shared" si="103"/>
        <v>19.59165</v>
      </c>
      <c r="F631" s="22"/>
      <c r="G631" s="22"/>
      <c r="H631" s="22"/>
      <c r="I631" s="22"/>
      <c r="J631" s="22"/>
      <c r="K631" s="22"/>
      <c r="L631" s="22"/>
      <c r="M631" s="22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22"/>
      <c r="AA631" s="22"/>
      <c r="AB631" s="23">
        <v>25.7195</v>
      </c>
      <c r="AC631" s="4">
        <v>6.99274</v>
      </c>
      <c r="AD631" s="22"/>
      <c r="AE631" s="22"/>
      <c r="AF631" s="22"/>
      <c r="AG631" s="22"/>
      <c r="AH631" s="20"/>
      <c r="AI631" s="4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4"/>
      <c r="BA631" s="4"/>
      <c r="BB631" s="4"/>
      <c r="BC631" s="22"/>
      <c r="BD631" s="22"/>
      <c r="BE631" s="22"/>
      <c r="BF631" s="22">
        <v>20.1871</v>
      </c>
      <c r="BG631" s="22">
        <v>12.59891</v>
      </c>
      <c r="BH631" s="22"/>
      <c r="BI631" s="22"/>
      <c r="BJ631" s="22"/>
      <c r="BK631" s="22"/>
      <c r="BL631" s="22"/>
      <c r="BM631" s="22"/>
      <c r="BN631" s="22"/>
      <c r="BO631" s="4"/>
      <c r="BP631" s="4"/>
      <c r="BQ631" s="4"/>
      <c r="BR631" s="4"/>
      <c r="BS631" s="4"/>
      <c r="BT631" s="22"/>
      <c r="BU631" s="24"/>
    </row>
    <row r="632" spans="1:73" ht="73.5" customHeight="1" outlineLevel="2">
      <c r="A632" s="46" t="s">
        <v>195</v>
      </c>
      <c r="B632" s="26" t="s">
        <v>400</v>
      </c>
      <c r="C632" s="39">
        <f t="shared" si="101"/>
        <v>21.89736</v>
      </c>
      <c r="D632" s="1">
        <f t="shared" si="102"/>
        <v>13.48279</v>
      </c>
      <c r="E632" s="1">
        <f t="shared" si="103"/>
        <v>8.41457</v>
      </c>
      <c r="F632" s="22"/>
      <c r="G632" s="22"/>
      <c r="H632" s="22"/>
      <c r="I632" s="22"/>
      <c r="J632" s="22"/>
      <c r="K632" s="22"/>
      <c r="L632" s="22"/>
      <c r="M632" s="22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22"/>
      <c r="AA632" s="22"/>
      <c r="AB632" s="23"/>
      <c r="AC632" s="4"/>
      <c r="AD632" s="22"/>
      <c r="AE632" s="22"/>
      <c r="AF632" s="22"/>
      <c r="AG632" s="22"/>
      <c r="AH632" s="20"/>
      <c r="AI632" s="4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4"/>
      <c r="BA632" s="4"/>
      <c r="BB632" s="4"/>
      <c r="BC632" s="22"/>
      <c r="BD632" s="22"/>
      <c r="BE632" s="22"/>
      <c r="BF632" s="22">
        <v>13.48279</v>
      </c>
      <c r="BG632" s="22">
        <v>8.41457</v>
      </c>
      <c r="BH632" s="22"/>
      <c r="BI632" s="22"/>
      <c r="BJ632" s="22"/>
      <c r="BK632" s="22"/>
      <c r="BL632" s="22"/>
      <c r="BM632" s="22"/>
      <c r="BN632" s="22"/>
      <c r="BO632" s="4"/>
      <c r="BP632" s="4"/>
      <c r="BQ632" s="4"/>
      <c r="BR632" s="4"/>
      <c r="BS632" s="4"/>
      <c r="BT632" s="22"/>
      <c r="BU632" s="24"/>
    </row>
    <row r="633" spans="1:73" ht="73.5" customHeight="1" outlineLevel="2">
      <c r="A633" s="46" t="s">
        <v>195</v>
      </c>
      <c r="B633" s="26" t="s">
        <v>401</v>
      </c>
      <c r="C633" s="39">
        <f t="shared" si="101"/>
        <v>123.72701999999998</v>
      </c>
      <c r="D633" s="1">
        <f t="shared" si="102"/>
        <v>84.48913999999999</v>
      </c>
      <c r="E633" s="1">
        <f t="shared" si="103"/>
        <v>39.23788</v>
      </c>
      <c r="F633" s="22"/>
      <c r="G633" s="22"/>
      <c r="H633" s="22"/>
      <c r="I633" s="22"/>
      <c r="J633" s="22"/>
      <c r="K633" s="22"/>
      <c r="L633" s="22"/>
      <c r="M633" s="22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22"/>
      <c r="AA633" s="22"/>
      <c r="AB633" s="23">
        <v>48.22406</v>
      </c>
      <c r="AC633" s="4">
        <v>9.32365</v>
      </c>
      <c r="AD633" s="22"/>
      <c r="AE633" s="22"/>
      <c r="AF633" s="22"/>
      <c r="AG633" s="22"/>
      <c r="AH633" s="20">
        <v>7.21064</v>
      </c>
      <c r="AI633" s="4"/>
      <c r="AJ633" s="20">
        <v>7.21064</v>
      </c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4"/>
      <c r="BA633" s="4"/>
      <c r="BB633" s="4"/>
      <c r="BC633" s="22"/>
      <c r="BD633" s="22"/>
      <c r="BE633" s="22"/>
      <c r="BF633" s="22">
        <v>36.26508</v>
      </c>
      <c r="BG633" s="22">
        <v>22.70359</v>
      </c>
      <c r="BH633" s="22"/>
      <c r="BI633" s="22"/>
      <c r="BJ633" s="22"/>
      <c r="BK633" s="22"/>
      <c r="BL633" s="22"/>
      <c r="BM633" s="22"/>
      <c r="BN633" s="22"/>
      <c r="BO633" s="4"/>
      <c r="BP633" s="4"/>
      <c r="BQ633" s="4"/>
      <c r="BR633" s="4"/>
      <c r="BS633" s="4"/>
      <c r="BT633" s="22"/>
      <c r="BU633" s="24"/>
    </row>
    <row r="634" spans="1:73" ht="73.5" customHeight="1" outlineLevel="2">
      <c r="A634" s="46" t="s">
        <v>195</v>
      </c>
      <c r="B634" s="26" t="s">
        <v>170</v>
      </c>
      <c r="C634" s="39">
        <f t="shared" si="101"/>
        <v>37.8644</v>
      </c>
      <c r="D634" s="1">
        <f t="shared" si="102"/>
        <v>20.51701</v>
      </c>
      <c r="E634" s="1">
        <f t="shared" si="103"/>
        <v>17.34739</v>
      </c>
      <c r="F634" s="22"/>
      <c r="G634" s="22"/>
      <c r="H634" s="22"/>
      <c r="I634" s="22"/>
      <c r="J634" s="22"/>
      <c r="K634" s="22"/>
      <c r="L634" s="22"/>
      <c r="M634" s="22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22"/>
      <c r="AA634" s="22"/>
      <c r="AB634" s="23"/>
      <c r="AC634" s="4"/>
      <c r="AD634" s="22"/>
      <c r="AE634" s="22"/>
      <c r="AF634" s="22"/>
      <c r="AG634" s="22"/>
      <c r="AH634" s="20">
        <v>4.50665</v>
      </c>
      <c r="AI634" s="4"/>
      <c r="AJ634" s="20">
        <v>4.50665</v>
      </c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4"/>
      <c r="BA634" s="4"/>
      <c r="BB634" s="4"/>
      <c r="BC634" s="22"/>
      <c r="BD634" s="22"/>
      <c r="BE634" s="22"/>
      <c r="BF634" s="22">
        <v>20.51701</v>
      </c>
      <c r="BG634" s="22">
        <v>12.84074</v>
      </c>
      <c r="BH634" s="22"/>
      <c r="BI634" s="22"/>
      <c r="BJ634" s="22"/>
      <c r="BK634" s="22"/>
      <c r="BL634" s="22"/>
      <c r="BM634" s="22"/>
      <c r="BN634" s="22"/>
      <c r="BO634" s="4"/>
      <c r="BP634" s="4"/>
      <c r="BQ634" s="4"/>
      <c r="BR634" s="4"/>
      <c r="BS634" s="4"/>
      <c r="BT634" s="22"/>
      <c r="BU634" s="24"/>
    </row>
    <row r="635" spans="1:73" ht="73.5" customHeight="1" outlineLevel="2" thickBot="1">
      <c r="A635" s="46" t="s">
        <v>195</v>
      </c>
      <c r="B635" s="26" t="s">
        <v>187</v>
      </c>
      <c r="C635" s="39">
        <f t="shared" si="101"/>
        <v>435.3159</v>
      </c>
      <c r="D635" s="1">
        <f t="shared" si="102"/>
        <v>0</v>
      </c>
      <c r="E635" s="1">
        <f t="shared" si="103"/>
        <v>435.3159</v>
      </c>
      <c r="F635" s="22"/>
      <c r="G635" s="22"/>
      <c r="H635" s="22"/>
      <c r="I635" s="22"/>
      <c r="J635" s="22"/>
      <c r="K635" s="22"/>
      <c r="L635" s="22"/>
      <c r="M635" s="22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22"/>
      <c r="AA635" s="22"/>
      <c r="AB635" s="4"/>
      <c r="AC635" s="4"/>
      <c r="AD635" s="22"/>
      <c r="AE635" s="22"/>
      <c r="AF635" s="22"/>
      <c r="AG635" s="22"/>
      <c r="AH635" s="20"/>
      <c r="AI635" s="4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4"/>
      <c r="BA635" s="4"/>
      <c r="BB635" s="4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>
        <f>56.7399+378.576</f>
        <v>435.3159</v>
      </c>
      <c r="BN635" s="22"/>
      <c r="BO635" s="4"/>
      <c r="BP635" s="4"/>
      <c r="BQ635" s="4"/>
      <c r="BR635" s="4"/>
      <c r="BS635" s="4"/>
      <c r="BT635" s="22"/>
      <c r="BU635" s="24"/>
    </row>
    <row r="636" spans="1:74" s="35" customFormat="1" ht="73.5" customHeight="1" outlineLevel="1" thickBot="1">
      <c r="A636" s="29" t="s">
        <v>14</v>
      </c>
      <c r="B636" s="54"/>
      <c r="C636" s="31">
        <f aca="true" t="shared" si="104" ref="C636:BN636">SUBTOTAL(9,C616:C635)</f>
        <v>18444.145829999998</v>
      </c>
      <c r="D636" s="31">
        <f t="shared" si="104"/>
        <v>5513.401149999999</v>
      </c>
      <c r="E636" s="31">
        <f t="shared" si="104"/>
        <v>12930.744680000002</v>
      </c>
      <c r="F636" s="31">
        <f t="shared" si="104"/>
        <v>0</v>
      </c>
      <c r="G636" s="31">
        <f t="shared" si="104"/>
        <v>0</v>
      </c>
      <c r="H636" s="31">
        <f t="shared" si="104"/>
        <v>0</v>
      </c>
      <c r="I636" s="31">
        <f t="shared" si="104"/>
        <v>0</v>
      </c>
      <c r="J636" s="31">
        <f t="shared" si="104"/>
        <v>285.67855</v>
      </c>
      <c r="K636" s="31">
        <f t="shared" si="104"/>
        <v>119.16539</v>
      </c>
      <c r="L636" s="31">
        <f t="shared" si="104"/>
        <v>0</v>
      </c>
      <c r="M636" s="31">
        <f t="shared" si="104"/>
        <v>0</v>
      </c>
      <c r="N636" s="31">
        <f t="shared" si="104"/>
        <v>0</v>
      </c>
      <c r="O636" s="31">
        <f t="shared" si="104"/>
        <v>0</v>
      </c>
      <c r="P636" s="31">
        <f t="shared" si="104"/>
        <v>0</v>
      </c>
      <c r="Q636" s="31">
        <f t="shared" si="104"/>
        <v>0</v>
      </c>
      <c r="R636" s="31">
        <f t="shared" si="104"/>
        <v>0</v>
      </c>
      <c r="S636" s="31">
        <f t="shared" si="104"/>
        <v>0</v>
      </c>
      <c r="T636" s="31">
        <f t="shared" si="104"/>
        <v>0</v>
      </c>
      <c r="U636" s="31">
        <f t="shared" si="104"/>
        <v>0</v>
      </c>
      <c r="V636" s="31">
        <f t="shared" si="104"/>
        <v>0</v>
      </c>
      <c r="W636" s="31">
        <f t="shared" si="104"/>
        <v>0</v>
      </c>
      <c r="X636" s="31">
        <f t="shared" si="104"/>
        <v>0</v>
      </c>
      <c r="Y636" s="31">
        <f t="shared" si="104"/>
        <v>0</v>
      </c>
      <c r="Z636" s="31">
        <f t="shared" si="104"/>
        <v>78.19104999999999</v>
      </c>
      <c r="AA636" s="31">
        <f t="shared" si="104"/>
        <v>78.165</v>
      </c>
      <c r="AB636" s="31">
        <f t="shared" si="104"/>
        <v>1078.98797</v>
      </c>
      <c r="AC636" s="31">
        <f t="shared" si="104"/>
        <v>328.42568</v>
      </c>
      <c r="AD636" s="31">
        <f t="shared" si="104"/>
        <v>0</v>
      </c>
      <c r="AE636" s="31">
        <f t="shared" si="104"/>
        <v>0</v>
      </c>
      <c r="AF636" s="31">
        <f t="shared" si="104"/>
        <v>0</v>
      </c>
      <c r="AG636" s="31">
        <f t="shared" si="104"/>
        <v>0</v>
      </c>
      <c r="AH636" s="31">
        <f t="shared" si="104"/>
        <v>232.45049</v>
      </c>
      <c r="AI636" s="31">
        <f t="shared" si="104"/>
        <v>85.45415</v>
      </c>
      <c r="AJ636" s="31">
        <f t="shared" si="104"/>
        <v>146.99634000000003</v>
      </c>
      <c r="AK636" s="31">
        <f t="shared" si="104"/>
        <v>0</v>
      </c>
      <c r="AL636" s="31">
        <f t="shared" si="104"/>
        <v>336.91366</v>
      </c>
      <c r="AM636" s="31">
        <f t="shared" si="104"/>
        <v>0</v>
      </c>
      <c r="AN636" s="31">
        <f t="shared" si="104"/>
        <v>0</v>
      </c>
      <c r="AO636" s="31">
        <f t="shared" si="104"/>
        <v>0</v>
      </c>
      <c r="AP636" s="31">
        <f t="shared" si="104"/>
        <v>0</v>
      </c>
      <c r="AQ636" s="31">
        <f t="shared" si="104"/>
        <v>0</v>
      </c>
      <c r="AR636" s="31">
        <f t="shared" si="104"/>
        <v>0</v>
      </c>
      <c r="AS636" s="31">
        <f t="shared" si="104"/>
        <v>0</v>
      </c>
      <c r="AT636" s="31">
        <f t="shared" si="104"/>
        <v>0</v>
      </c>
      <c r="AU636" s="31">
        <f t="shared" si="104"/>
        <v>0</v>
      </c>
      <c r="AV636" s="31">
        <f t="shared" si="104"/>
        <v>0</v>
      </c>
      <c r="AW636" s="31">
        <f t="shared" si="104"/>
        <v>0</v>
      </c>
      <c r="AX636" s="31">
        <f t="shared" si="104"/>
        <v>0</v>
      </c>
      <c r="AY636" s="31">
        <f t="shared" si="104"/>
        <v>2678.16093</v>
      </c>
      <c r="AZ636" s="31">
        <f t="shared" si="104"/>
        <v>2829.62431</v>
      </c>
      <c r="BA636" s="31">
        <f t="shared" si="104"/>
        <v>0</v>
      </c>
      <c r="BB636" s="31">
        <f t="shared" si="104"/>
        <v>0</v>
      </c>
      <c r="BC636" s="31">
        <f t="shared" si="104"/>
        <v>0</v>
      </c>
      <c r="BD636" s="31">
        <f t="shared" si="104"/>
        <v>414.3241</v>
      </c>
      <c r="BE636" s="31">
        <f t="shared" si="104"/>
        <v>172.5</v>
      </c>
      <c r="BF636" s="31">
        <f t="shared" si="104"/>
        <v>1392.3826500000002</v>
      </c>
      <c r="BG636" s="31">
        <f t="shared" si="104"/>
        <v>869.82638</v>
      </c>
      <c r="BH636" s="31">
        <f t="shared" si="104"/>
        <v>0</v>
      </c>
      <c r="BI636" s="31">
        <f t="shared" si="104"/>
        <v>0</v>
      </c>
      <c r="BJ636" s="31">
        <f t="shared" si="104"/>
        <v>672.49377</v>
      </c>
      <c r="BK636" s="31">
        <f t="shared" si="104"/>
        <v>0</v>
      </c>
      <c r="BL636" s="31">
        <f t="shared" si="104"/>
        <v>0</v>
      </c>
      <c r="BM636" s="31">
        <f t="shared" si="104"/>
        <v>435.3159</v>
      </c>
      <c r="BN636" s="31">
        <f t="shared" si="104"/>
        <v>0</v>
      </c>
      <c r="BO636" s="31">
        <f aca="true" t="shared" si="105" ref="BO636:BT636">SUBTOTAL(9,BO616:BO635)</f>
        <v>0</v>
      </c>
      <c r="BP636" s="31">
        <f t="shared" si="105"/>
        <v>2970</v>
      </c>
      <c r="BQ636" s="31">
        <f t="shared" si="105"/>
        <v>0</v>
      </c>
      <c r="BR636" s="31">
        <f t="shared" si="105"/>
        <v>0</v>
      </c>
      <c r="BS636" s="32">
        <f t="shared" si="105"/>
        <v>0</v>
      </c>
      <c r="BT636" s="32">
        <f t="shared" si="105"/>
        <v>3471.54</v>
      </c>
      <c r="BU636" s="33"/>
      <c r="BV636" s="34"/>
    </row>
    <row r="637" spans="1:73" ht="73.5" customHeight="1" outlineLevel="2">
      <c r="A637" s="36" t="s">
        <v>328</v>
      </c>
      <c r="B637" s="52" t="s">
        <v>84</v>
      </c>
      <c r="C637" s="39">
        <f>D637+E637</f>
        <v>46501.53017</v>
      </c>
      <c r="D637" s="1">
        <f aca="true" t="shared" si="106" ref="D637:D700">F637+J637+N637+R637+T637+Z637+AB637+AD637+AF637+AM637+AO637+AT637+AY637+BF637+BO637+BS637+H637+V637+X637+BQ637+AR637+BH637</f>
        <v>22308.54911</v>
      </c>
      <c r="E637" s="1">
        <f aca="true" t="shared" si="107" ref="E637:E700">G637+I637+K637+L637+M637+O637+P637+Q637+S637+U637+W637+Y637+AA637+AC637+AE637+AG637+AH637+AK637+AL637+AN637+AP637+AQ637+AS637+AU637+AV637+AW637+AX637+AZ637+BA637+BB637+BC637+BD637+BE637+BG637+BI637+BJ637+BK637+BL637+BM637+BN637+BU637+BP637+BR637+BT637</f>
        <v>24192.98106</v>
      </c>
      <c r="F637" s="40"/>
      <c r="G637" s="40"/>
      <c r="H637" s="40">
        <v>430.70355</v>
      </c>
      <c r="I637" s="40">
        <v>175.76532</v>
      </c>
      <c r="J637" s="40">
        <v>909.19491</v>
      </c>
      <c r="K637" s="40">
        <v>227.34403</v>
      </c>
      <c r="L637" s="40">
        <v>1009.62824</v>
      </c>
      <c r="M637" s="40"/>
      <c r="N637" s="41"/>
      <c r="O637" s="41"/>
      <c r="P637" s="41"/>
      <c r="Q637" s="41"/>
      <c r="R637" s="41">
        <v>457.82832</v>
      </c>
      <c r="S637" s="41">
        <v>254.52311</v>
      </c>
      <c r="T637" s="41"/>
      <c r="U637" s="41"/>
      <c r="V637" s="41"/>
      <c r="W637" s="41"/>
      <c r="X637" s="41">
        <v>2067.52757</v>
      </c>
      <c r="Y637" s="41">
        <v>1283.01262</v>
      </c>
      <c r="Z637" s="40">
        <v>1747.55968</v>
      </c>
      <c r="AA637" s="40">
        <v>1683.1935</v>
      </c>
      <c r="AB637" s="42">
        <v>1414.77093</v>
      </c>
      <c r="AC637" s="41">
        <v>368.51737</v>
      </c>
      <c r="AD637" s="40"/>
      <c r="AE637" s="40"/>
      <c r="AF637" s="40"/>
      <c r="AG637" s="40"/>
      <c r="AH637" s="43">
        <f>953.775+267.38235+33.7239+319.2456+422.02165</f>
        <v>1996.1484999999998</v>
      </c>
      <c r="AI637" s="41">
        <f>319.2456+422.02165</f>
        <v>741.2672500000001</v>
      </c>
      <c r="AJ637" s="40">
        <v>1254.88125</v>
      </c>
      <c r="AK637" s="40"/>
      <c r="AL637" s="40"/>
      <c r="AM637" s="40">
        <v>5990.20595</v>
      </c>
      <c r="AN637" s="40">
        <v>2429.0448</v>
      </c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22">
        <v>5469.07018</v>
      </c>
      <c r="AZ637" s="41">
        <v>3425.40734</v>
      </c>
      <c r="BA637" s="41"/>
      <c r="BB637" s="41"/>
      <c r="BC637" s="40"/>
      <c r="BD637" s="40">
        <f>6606.02994+163.19576</f>
        <v>6769.2257</v>
      </c>
      <c r="BE637" s="40">
        <v>2184.85415</v>
      </c>
      <c r="BF637" s="40">
        <v>3821.68802</v>
      </c>
      <c r="BG637" s="40">
        <v>2386.31638</v>
      </c>
      <c r="BH637" s="40"/>
      <c r="BI637" s="40"/>
      <c r="BJ637" s="40"/>
      <c r="BK637" s="40"/>
      <c r="BL637" s="40"/>
      <c r="BM637" s="40"/>
      <c r="BN637" s="40"/>
      <c r="BO637" s="41"/>
      <c r="BP637" s="41"/>
      <c r="BQ637" s="41"/>
      <c r="BR637" s="41"/>
      <c r="BS637" s="4"/>
      <c r="BT637" s="22"/>
      <c r="BU637" s="24"/>
    </row>
    <row r="638" spans="1:73" ht="73.5" customHeight="1" outlineLevel="2">
      <c r="A638" s="46" t="s">
        <v>328</v>
      </c>
      <c r="B638" s="26" t="s">
        <v>575</v>
      </c>
      <c r="C638" s="39">
        <f aca="true" t="shared" si="108" ref="C638:C704">D638+E638</f>
        <v>144.40927</v>
      </c>
      <c r="D638" s="1">
        <f t="shared" si="106"/>
        <v>0</v>
      </c>
      <c r="E638" s="1">
        <f t="shared" si="107"/>
        <v>144.40927</v>
      </c>
      <c r="F638" s="22"/>
      <c r="G638" s="22"/>
      <c r="H638" s="22"/>
      <c r="I638" s="22"/>
      <c r="J638" s="22"/>
      <c r="K638" s="22"/>
      <c r="L638" s="22"/>
      <c r="M638" s="22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22"/>
      <c r="AA638" s="22"/>
      <c r="AB638" s="23"/>
      <c r="AC638" s="4"/>
      <c r="AD638" s="22"/>
      <c r="AE638" s="22"/>
      <c r="AF638" s="22"/>
      <c r="AG638" s="22"/>
      <c r="AH638" s="20"/>
      <c r="AI638" s="4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4"/>
      <c r="BA638" s="4"/>
      <c r="BB638" s="4"/>
      <c r="BC638" s="22"/>
      <c r="BD638" s="22">
        <v>144.40927</v>
      </c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4"/>
      <c r="BP638" s="4"/>
      <c r="BQ638" s="4"/>
      <c r="BR638" s="4"/>
      <c r="BS638" s="4"/>
      <c r="BT638" s="22"/>
      <c r="BU638" s="24"/>
    </row>
    <row r="639" spans="1:73" ht="73.5" customHeight="1" outlineLevel="2">
      <c r="A639" s="46" t="s">
        <v>328</v>
      </c>
      <c r="B639" s="45" t="s">
        <v>549</v>
      </c>
      <c r="C639" s="39">
        <f t="shared" si="108"/>
        <v>2644.83281</v>
      </c>
      <c r="D639" s="1">
        <f t="shared" si="106"/>
        <v>1587.19006</v>
      </c>
      <c r="E639" s="1">
        <f t="shared" si="107"/>
        <v>1057.6427500000002</v>
      </c>
      <c r="F639" s="22"/>
      <c r="G639" s="22"/>
      <c r="H639" s="22"/>
      <c r="I639" s="22"/>
      <c r="J639" s="22"/>
      <c r="K639" s="22"/>
      <c r="L639" s="22"/>
      <c r="M639" s="22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22"/>
      <c r="AA639" s="22"/>
      <c r="AB639" s="23">
        <v>29.76652</v>
      </c>
      <c r="AC639" s="4">
        <v>13.98548</v>
      </c>
      <c r="AD639" s="22"/>
      <c r="AE639" s="22"/>
      <c r="AF639" s="22">
        <v>1458</v>
      </c>
      <c r="AG639" s="22">
        <v>1001.6</v>
      </c>
      <c r="AH639" s="20"/>
      <c r="AI639" s="4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4"/>
      <c r="BA639" s="4"/>
      <c r="BB639" s="4"/>
      <c r="BC639" s="22"/>
      <c r="BD639" s="22"/>
      <c r="BE639" s="22"/>
      <c r="BF639" s="22">
        <v>67.02354</v>
      </c>
      <c r="BG639" s="22">
        <v>4.15232</v>
      </c>
      <c r="BH639" s="22">
        <v>32.4</v>
      </c>
      <c r="BI639" s="22">
        <v>37.90495</v>
      </c>
      <c r="BJ639" s="22"/>
      <c r="BK639" s="22"/>
      <c r="BL639" s="22"/>
      <c r="BM639" s="22"/>
      <c r="BN639" s="22"/>
      <c r="BO639" s="4"/>
      <c r="BP639" s="4"/>
      <c r="BQ639" s="4"/>
      <c r="BR639" s="4"/>
      <c r="BS639" s="4"/>
      <c r="BT639" s="22"/>
      <c r="BU639" s="24"/>
    </row>
    <row r="640" spans="1:73" ht="73.5" customHeight="1" outlineLevel="2">
      <c r="A640" s="46" t="s">
        <v>328</v>
      </c>
      <c r="B640" s="45" t="s">
        <v>2</v>
      </c>
      <c r="C640" s="39">
        <f t="shared" si="108"/>
        <v>4714.16771</v>
      </c>
      <c r="D640" s="1">
        <f t="shared" si="106"/>
        <v>2547.6537399999997</v>
      </c>
      <c r="E640" s="1">
        <f t="shared" si="107"/>
        <v>2166.51397</v>
      </c>
      <c r="F640" s="22"/>
      <c r="G640" s="22"/>
      <c r="H640" s="22"/>
      <c r="I640" s="22"/>
      <c r="J640" s="22"/>
      <c r="K640" s="22"/>
      <c r="L640" s="22"/>
      <c r="M640" s="22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22"/>
      <c r="AA640" s="22">
        <v>172.8945</v>
      </c>
      <c r="AB640" s="23">
        <v>834.81202</v>
      </c>
      <c r="AC640" s="4">
        <v>372.94611</v>
      </c>
      <c r="AD640" s="22"/>
      <c r="AE640" s="22"/>
      <c r="AF640" s="22"/>
      <c r="AG640" s="22"/>
      <c r="AH640" s="20">
        <f>260.1558+26.49735+261.98365</f>
        <v>548.6368</v>
      </c>
      <c r="AI640" s="4">
        <v>261.98365</v>
      </c>
      <c r="AJ640" s="22">
        <v>286.65315</v>
      </c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Z640" s="4"/>
      <c r="BA640" s="4"/>
      <c r="BB640" s="4"/>
      <c r="BC640" s="22"/>
      <c r="BD640" s="22"/>
      <c r="BE640" s="22"/>
      <c r="BF640" s="22">
        <v>1712.84172</v>
      </c>
      <c r="BG640" s="22">
        <v>1072.03656</v>
      </c>
      <c r="BH640" s="22"/>
      <c r="BI640" s="22"/>
      <c r="BJ640" s="22"/>
      <c r="BK640" s="22"/>
      <c r="BL640" s="22"/>
      <c r="BM640" s="22"/>
      <c r="BN640" s="22"/>
      <c r="BO640" s="4"/>
      <c r="BP640" s="4"/>
      <c r="BQ640" s="4"/>
      <c r="BR640" s="4"/>
      <c r="BS640" s="4"/>
      <c r="BT640" s="22"/>
      <c r="BU640" s="24"/>
    </row>
    <row r="641" spans="1:73" ht="73.5" customHeight="1" outlineLevel="2">
      <c r="A641" s="46" t="s">
        <v>328</v>
      </c>
      <c r="B641" s="45" t="s">
        <v>778</v>
      </c>
      <c r="C641" s="39">
        <f t="shared" si="108"/>
        <v>458.28899</v>
      </c>
      <c r="D641" s="1">
        <f t="shared" si="106"/>
        <v>0</v>
      </c>
      <c r="E641" s="1">
        <f t="shared" si="107"/>
        <v>458.28899</v>
      </c>
      <c r="F641" s="22"/>
      <c r="G641" s="22"/>
      <c r="H641" s="22"/>
      <c r="I641" s="22"/>
      <c r="J641" s="22"/>
      <c r="K641" s="22"/>
      <c r="L641" s="22"/>
      <c r="M641" s="22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22"/>
      <c r="AA641" s="22"/>
      <c r="AB641" s="23"/>
      <c r="AC641" s="4"/>
      <c r="AD641" s="22"/>
      <c r="AE641" s="22"/>
      <c r="AF641" s="22"/>
      <c r="AG641" s="22"/>
      <c r="AH641" s="20"/>
      <c r="AI641" s="4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4"/>
      <c r="BA641" s="4"/>
      <c r="BB641" s="4"/>
      <c r="BC641" s="22"/>
      <c r="BD641" s="22">
        <v>458.28899</v>
      </c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4"/>
      <c r="BP641" s="4"/>
      <c r="BQ641" s="4"/>
      <c r="BR641" s="4"/>
      <c r="BS641" s="4"/>
      <c r="BT641" s="22"/>
      <c r="BU641" s="24"/>
    </row>
    <row r="642" spans="1:73" ht="73.5" customHeight="1" outlineLevel="2">
      <c r="A642" s="46" t="s">
        <v>328</v>
      </c>
      <c r="B642" s="45" t="s">
        <v>574</v>
      </c>
      <c r="C642" s="39">
        <f t="shared" si="108"/>
        <v>1085.59295</v>
      </c>
      <c r="D642" s="1">
        <f t="shared" si="106"/>
        <v>781.80208</v>
      </c>
      <c r="E642" s="1">
        <f t="shared" si="107"/>
        <v>303.79087</v>
      </c>
      <c r="F642" s="22">
        <v>781.80208</v>
      </c>
      <c r="G642" s="22">
        <v>303.79087</v>
      </c>
      <c r="H642" s="22"/>
      <c r="I642" s="22"/>
      <c r="J642" s="22"/>
      <c r="K642" s="22"/>
      <c r="L642" s="22"/>
      <c r="M642" s="22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22"/>
      <c r="AA642" s="22"/>
      <c r="AB642" s="23"/>
      <c r="AC642" s="4"/>
      <c r="AD642" s="22"/>
      <c r="AE642" s="22"/>
      <c r="AF642" s="22"/>
      <c r="AG642" s="22"/>
      <c r="AH642" s="20"/>
      <c r="AI642" s="4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4"/>
      <c r="BA642" s="4"/>
      <c r="BB642" s="4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4"/>
      <c r="BP642" s="4"/>
      <c r="BQ642" s="4"/>
      <c r="BR642" s="4"/>
      <c r="BS642" s="4"/>
      <c r="BT642" s="22"/>
      <c r="BU642" s="24"/>
    </row>
    <row r="643" spans="1:73" ht="73.5" customHeight="1" outlineLevel="2">
      <c r="A643" s="26" t="s">
        <v>328</v>
      </c>
      <c r="B643" s="26" t="s">
        <v>345</v>
      </c>
      <c r="C643" s="39">
        <f t="shared" si="108"/>
        <v>490.0262</v>
      </c>
      <c r="D643" s="1">
        <f t="shared" si="106"/>
        <v>310.08692</v>
      </c>
      <c r="E643" s="1">
        <f t="shared" si="107"/>
        <v>179.93928</v>
      </c>
      <c r="F643" s="22"/>
      <c r="G643" s="22"/>
      <c r="H643" s="22"/>
      <c r="I643" s="22"/>
      <c r="J643" s="22"/>
      <c r="K643" s="22"/>
      <c r="L643" s="22"/>
      <c r="M643" s="22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22"/>
      <c r="AA643" s="22"/>
      <c r="AB643" s="23">
        <v>96.78909</v>
      </c>
      <c r="AC643" s="4">
        <v>46.61826</v>
      </c>
      <c r="AD643" s="22"/>
      <c r="AE643" s="22"/>
      <c r="AF643" s="22"/>
      <c r="AG643" s="22"/>
      <c r="AH643" s="20"/>
      <c r="AI643" s="4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4"/>
      <c r="BA643" s="4"/>
      <c r="BB643" s="4"/>
      <c r="BC643" s="22"/>
      <c r="BD643" s="22"/>
      <c r="BE643" s="22"/>
      <c r="BF643" s="22">
        <v>213.29783</v>
      </c>
      <c r="BG643" s="22">
        <v>133.32102</v>
      </c>
      <c r="BH643" s="22"/>
      <c r="BI643" s="22"/>
      <c r="BJ643" s="22"/>
      <c r="BK643" s="22"/>
      <c r="BL643" s="22"/>
      <c r="BM643" s="22"/>
      <c r="BN643" s="22"/>
      <c r="BO643" s="4"/>
      <c r="BP643" s="4"/>
      <c r="BQ643" s="4"/>
      <c r="BR643" s="4"/>
      <c r="BS643" s="4"/>
      <c r="BT643" s="22"/>
      <c r="BU643" s="24"/>
    </row>
    <row r="644" spans="1:73" ht="73.5" customHeight="1" outlineLevel="2">
      <c r="A644" s="44" t="s">
        <v>328</v>
      </c>
      <c r="B644" s="26" t="s">
        <v>402</v>
      </c>
      <c r="C644" s="39">
        <f t="shared" si="108"/>
        <v>1081.93732</v>
      </c>
      <c r="D644" s="1">
        <f t="shared" si="106"/>
        <v>494.87512</v>
      </c>
      <c r="E644" s="1">
        <f t="shared" si="107"/>
        <v>587.0622</v>
      </c>
      <c r="F644" s="22"/>
      <c r="G644" s="22"/>
      <c r="H644" s="22"/>
      <c r="I644" s="22"/>
      <c r="J644" s="22"/>
      <c r="K644" s="22"/>
      <c r="L644" s="22"/>
      <c r="M644" s="22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22"/>
      <c r="AA644" s="22">
        <v>6.966</v>
      </c>
      <c r="AB644" s="23">
        <v>217.00826</v>
      </c>
      <c r="AC644" s="4">
        <v>83.91287</v>
      </c>
      <c r="AD644" s="22"/>
      <c r="AE644" s="22"/>
      <c r="AF644" s="22"/>
      <c r="AG644" s="22"/>
      <c r="AH644" s="20">
        <f>26.49735+32.983</f>
        <v>59.48035</v>
      </c>
      <c r="AI644" s="4">
        <v>32.983</v>
      </c>
      <c r="AJ644" s="22">
        <v>26.49735</v>
      </c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4"/>
      <c r="BA644" s="4"/>
      <c r="BB644" s="4"/>
      <c r="BC644" s="22"/>
      <c r="BD644" s="22">
        <v>262.79855</v>
      </c>
      <c r="BE644" s="22"/>
      <c r="BF644" s="22">
        <v>277.86686</v>
      </c>
      <c r="BG644" s="22">
        <v>173.90443</v>
      </c>
      <c r="BH644" s="22"/>
      <c r="BI644" s="22"/>
      <c r="BJ644" s="22"/>
      <c r="BK644" s="22"/>
      <c r="BL644" s="22"/>
      <c r="BM644" s="22"/>
      <c r="BN644" s="22"/>
      <c r="BO644" s="4"/>
      <c r="BP644" s="4"/>
      <c r="BQ644" s="4"/>
      <c r="BR644" s="4"/>
      <c r="BS644" s="4"/>
      <c r="BT644" s="22"/>
      <c r="BU644" s="24"/>
    </row>
    <row r="645" spans="1:73" ht="73.5" customHeight="1" outlineLevel="2">
      <c r="A645" s="46" t="s">
        <v>328</v>
      </c>
      <c r="B645" s="45" t="s">
        <v>470</v>
      </c>
      <c r="C645" s="39">
        <f t="shared" si="108"/>
        <v>10681.56219</v>
      </c>
      <c r="D645" s="1">
        <f t="shared" si="106"/>
        <v>5394.61765</v>
      </c>
      <c r="E645" s="1">
        <f t="shared" si="107"/>
        <v>5286.94454</v>
      </c>
      <c r="F645" s="22"/>
      <c r="G645" s="22"/>
      <c r="H645" s="22"/>
      <c r="I645" s="22"/>
      <c r="J645" s="22"/>
      <c r="K645" s="22"/>
      <c r="L645" s="22"/>
      <c r="M645" s="22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22">
        <v>86.87895</v>
      </c>
      <c r="AA645" s="22">
        <v>171.234</v>
      </c>
      <c r="AB645" s="23">
        <v>225.0456</v>
      </c>
      <c r="AC645" s="4">
        <v>102.56018</v>
      </c>
      <c r="AD645" s="22"/>
      <c r="AE645" s="22"/>
      <c r="AF645" s="22"/>
      <c r="AG645" s="22"/>
      <c r="AH645" s="20">
        <f>282.6+173.4372+170.9083</f>
        <v>626.9455</v>
      </c>
      <c r="AI645" s="4">
        <v>170.9083</v>
      </c>
      <c r="AJ645" s="22">
        <v>456.0372</v>
      </c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>
        <v>3480.8025</v>
      </c>
      <c r="AZ645" s="4">
        <v>3070.39655</v>
      </c>
      <c r="BA645" s="4"/>
      <c r="BB645" s="4"/>
      <c r="BC645" s="22"/>
      <c r="BD645" s="22"/>
      <c r="BE645" s="22">
        <v>314.66099</v>
      </c>
      <c r="BF645" s="22">
        <v>1601.8906</v>
      </c>
      <c r="BG645" s="22">
        <v>1001.14732</v>
      </c>
      <c r="BH645" s="22"/>
      <c r="BI645" s="22"/>
      <c r="BJ645" s="22"/>
      <c r="BK645" s="22"/>
      <c r="BL645" s="22"/>
      <c r="BM645" s="22"/>
      <c r="BN645" s="22"/>
      <c r="BO645" s="4"/>
      <c r="BP645" s="4"/>
      <c r="BQ645" s="4"/>
      <c r="BR645" s="4"/>
      <c r="BS645" s="4"/>
      <c r="BT645" s="22"/>
      <c r="BU645" s="24"/>
    </row>
    <row r="646" spans="1:73" ht="73.5" customHeight="1" outlineLevel="2">
      <c r="A646" s="46" t="s">
        <v>328</v>
      </c>
      <c r="B646" s="26" t="s">
        <v>65</v>
      </c>
      <c r="C646" s="39">
        <f t="shared" si="108"/>
        <v>1394.4762</v>
      </c>
      <c r="D646" s="1">
        <f t="shared" si="106"/>
        <v>828.75665</v>
      </c>
      <c r="E646" s="1">
        <f t="shared" si="107"/>
        <v>565.71955</v>
      </c>
      <c r="F646" s="22"/>
      <c r="G646" s="22"/>
      <c r="H646" s="22"/>
      <c r="I646" s="22"/>
      <c r="J646" s="22"/>
      <c r="K646" s="22"/>
      <c r="L646" s="22"/>
      <c r="M646" s="22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22"/>
      <c r="AA646" s="22">
        <v>17.433</v>
      </c>
      <c r="AB646" s="23">
        <v>411.94938</v>
      </c>
      <c r="AC646" s="4">
        <v>93.23653</v>
      </c>
      <c r="AD646" s="22"/>
      <c r="AE646" s="22"/>
      <c r="AF646" s="22"/>
      <c r="AG646" s="22"/>
      <c r="AH646" s="20">
        <f>33.7239+4.8177+53.2076+44.5975</f>
        <v>136.3467</v>
      </c>
      <c r="AI646" s="4">
        <f>53.2076+44.5975</f>
        <v>97.8051</v>
      </c>
      <c r="AJ646" s="22">
        <v>38.5416</v>
      </c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4"/>
      <c r="BA646" s="4"/>
      <c r="BB646" s="4"/>
      <c r="BC646" s="22"/>
      <c r="BD646" s="22"/>
      <c r="BE646" s="22">
        <v>58.09831</v>
      </c>
      <c r="BF646" s="22">
        <v>416.80727</v>
      </c>
      <c r="BG646" s="22">
        <v>260.60501</v>
      </c>
      <c r="BH646" s="22"/>
      <c r="BI646" s="22"/>
      <c r="BJ646" s="22"/>
      <c r="BK646" s="22"/>
      <c r="BL646" s="22"/>
      <c r="BM646" s="22"/>
      <c r="BN646" s="22"/>
      <c r="BO646" s="4"/>
      <c r="BP646" s="4"/>
      <c r="BQ646" s="4"/>
      <c r="BR646" s="4"/>
      <c r="BS646" s="4"/>
      <c r="BT646" s="22"/>
      <c r="BU646" s="24"/>
    </row>
    <row r="647" spans="1:73" ht="73.5" customHeight="1" outlineLevel="2">
      <c r="A647" s="44" t="s">
        <v>328</v>
      </c>
      <c r="B647" s="45" t="s">
        <v>203</v>
      </c>
      <c r="C647" s="39">
        <f t="shared" si="108"/>
        <v>709.5133800000001</v>
      </c>
      <c r="D647" s="1">
        <f t="shared" si="106"/>
        <v>365.52273</v>
      </c>
      <c r="E647" s="1">
        <f t="shared" si="107"/>
        <v>343.99065</v>
      </c>
      <c r="F647" s="22"/>
      <c r="G647" s="22"/>
      <c r="H647" s="22"/>
      <c r="I647" s="22"/>
      <c r="J647" s="22"/>
      <c r="K647" s="22"/>
      <c r="L647" s="22"/>
      <c r="M647" s="22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22">
        <v>214</v>
      </c>
      <c r="AA647" s="22">
        <v>109.3455</v>
      </c>
      <c r="AB647" s="23"/>
      <c r="AC647" s="4"/>
      <c r="AD647" s="22"/>
      <c r="AE647" s="22"/>
      <c r="AF647" s="22"/>
      <c r="AG647" s="22"/>
      <c r="AH647" s="20">
        <f>26.49735+79.8114+33.7272</f>
        <v>140.03595</v>
      </c>
      <c r="AI647" s="4">
        <f>79.8114+33.7272</f>
        <v>113.5386</v>
      </c>
      <c r="AJ647" s="22">
        <v>26.49735</v>
      </c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4"/>
      <c r="BA647" s="4"/>
      <c r="BB647" s="4"/>
      <c r="BC647" s="22"/>
      <c r="BD647" s="22"/>
      <c r="BE647" s="22"/>
      <c r="BF647" s="22">
        <v>151.52273</v>
      </c>
      <c r="BG647" s="22">
        <v>94.6092</v>
      </c>
      <c r="BH647" s="22"/>
      <c r="BI647" s="22"/>
      <c r="BJ647" s="22"/>
      <c r="BK647" s="22"/>
      <c r="BL647" s="22"/>
      <c r="BM647" s="22"/>
      <c r="BN647" s="22"/>
      <c r="BO647" s="4"/>
      <c r="BP647" s="4"/>
      <c r="BQ647" s="4"/>
      <c r="BR647" s="4"/>
      <c r="BS647" s="4"/>
      <c r="BT647" s="22"/>
      <c r="BU647" s="24"/>
    </row>
    <row r="648" spans="1:73" ht="73.5" customHeight="1" outlineLevel="2">
      <c r="A648" s="46" t="s">
        <v>328</v>
      </c>
      <c r="B648" s="45" t="s">
        <v>434</v>
      </c>
      <c r="C648" s="39">
        <f t="shared" si="108"/>
        <v>583.96171</v>
      </c>
      <c r="D648" s="1">
        <f t="shared" si="106"/>
        <v>280.26845</v>
      </c>
      <c r="E648" s="1">
        <f t="shared" si="107"/>
        <v>303.69326</v>
      </c>
      <c r="F648" s="22"/>
      <c r="G648" s="22"/>
      <c r="H648" s="22"/>
      <c r="I648" s="22"/>
      <c r="J648" s="22"/>
      <c r="K648" s="22"/>
      <c r="L648" s="22"/>
      <c r="M648" s="22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22"/>
      <c r="AA648" s="22"/>
      <c r="AB648" s="4"/>
      <c r="AC648" s="4"/>
      <c r="AD648" s="22"/>
      <c r="AE648" s="22"/>
      <c r="AF648" s="22"/>
      <c r="AG648" s="22"/>
      <c r="AH648" s="20">
        <f>55.40355+73.0756</f>
        <v>128.47915</v>
      </c>
      <c r="AI648" s="4">
        <v>73.0756</v>
      </c>
      <c r="AJ648" s="22">
        <v>55.40355</v>
      </c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4"/>
      <c r="BA648" s="4"/>
      <c r="BB648" s="4"/>
      <c r="BC648" s="22"/>
      <c r="BD648" s="22"/>
      <c r="BE648" s="22"/>
      <c r="BF648" s="22">
        <v>280.26845</v>
      </c>
      <c r="BG648" s="22">
        <v>175.21411</v>
      </c>
      <c r="BH648" s="22"/>
      <c r="BI648" s="22"/>
      <c r="BJ648" s="22"/>
      <c r="BK648" s="22"/>
      <c r="BL648" s="22"/>
      <c r="BM648" s="22"/>
      <c r="BN648" s="22"/>
      <c r="BO648" s="4"/>
      <c r="BP648" s="4"/>
      <c r="BQ648" s="4"/>
      <c r="BR648" s="4"/>
      <c r="BS648" s="4"/>
      <c r="BT648" s="22"/>
      <c r="BU648" s="24"/>
    </row>
    <row r="649" spans="1:73" ht="73.5" customHeight="1" outlineLevel="2">
      <c r="A649" s="44" t="s">
        <v>328</v>
      </c>
      <c r="B649" s="26" t="s">
        <v>326</v>
      </c>
      <c r="C649" s="39">
        <f t="shared" si="108"/>
        <v>3679.51771</v>
      </c>
      <c r="D649" s="1">
        <f t="shared" si="106"/>
        <v>1418.72723</v>
      </c>
      <c r="E649" s="1">
        <f t="shared" si="107"/>
        <v>2260.79048</v>
      </c>
      <c r="F649" s="22"/>
      <c r="G649" s="22"/>
      <c r="H649" s="22"/>
      <c r="I649" s="22"/>
      <c r="J649" s="22">
        <v>453.85113</v>
      </c>
      <c r="K649" s="22">
        <v>84.08037</v>
      </c>
      <c r="L649" s="22">
        <f>149.99125+11.88447</f>
        <v>161.87572</v>
      </c>
      <c r="M649" s="22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22">
        <v>123.75423</v>
      </c>
      <c r="AA649" s="22">
        <v>169.5735</v>
      </c>
      <c r="AB649" s="23"/>
      <c r="AC649" s="4"/>
      <c r="AD649" s="22"/>
      <c r="AE649" s="22"/>
      <c r="AF649" s="22"/>
      <c r="AG649" s="22"/>
      <c r="AH649" s="20">
        <f>79.49205+7.22655+79.8114+121.4338</f>
        <v>287.96380000000005</v>
      </c>
      <c r="AI649" s="4">
        <v>201.2452</v>
      </c>
      <c r="AJ649" s="22">
        <f>79.49205+7.22655</f>
        <v>86.71860000000001</v>
      </c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>
        <v>85.425</v>
      </c>
      <c r="AX649" s="22"/>
      <c r="AY649" s="22"/>
      <c r="AZ649" s="4"/>
      <c r="BA649" s="4"/>
      <c r="BB649" s="4"/>
      <c r="BC649" s="22"/>
      <c r="BD649" s="22">
        <v>668.89778</v>
      </c>
      <c r="BE649" s="22"/>
      <c r="BF649" s="22">
        <v>841.12187</v>
      </c>
      <c r="BG649" s="22">
        <v>525.48295</v>
      </c>
      <c r="BH649" s="22"/>
      <c r="BI649" s="22"/>
      <c r="BJ649" s="22">
        <v>277.49136</v>
      </c>
      <c r="BK649" s="22"/>
      <c r="BL649" s="22"/>
      <c r="BM649" s="22"/>
      <c r="BN649" s="22"/>
      <c r="BO649" s="4"/>
      <c r="BP649" s="4"/>
      <c r="BQ649" s="4"/>
      <c r="BR649" s="4"/>
      <c r="BS649" s="4"/>
      <c r="BT649" s="22"/>
      <c r="BU649" s="24"/>
    </row>
    <row r="650" spans="1:73" ht="73.5" customHeight="1" outlineLevel="2">
      <c r="A650" s="46" t="s">
        <v>328</v>
      </c>
      <c r="B650" s="45" t="s">
        <v>1</v>
      </c>
      <c r="C650" s="39">
        <f t="shared" si="108"/>
        <v>6124.24496</v>
      </c>
      <c r="D650" s="1">
        <f t="shared" si="106"/>
        <v>3241.6300699999997</v>
      </c>
      <c r="E650" s="1">
        <f t="shared" si="107"/>
        <v>2882.6148900000003</v>
      </c>
      <c r="F650" s="22"/>
      <c r="G650" s="22"/>
      <c r="H650" s="22"/>
      <c r="I650" s="22"/>
      <c r="J650" s="22">
        <v>264.9157</v>
      </c>
      <c r="K650" s="22">
        <v>78.81535</v>
      </c>
      <c r="L650" s="22"/>
      <c r="M650" s="22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22">
        <v>43.43947</v>
      </c>
      <c r="AA650" s="22">
        <v>59.697</v>
      </c>
      <c r="AB650" s="23">
        <v>302.1082</v>
      </c>
      <c r="AC650" s="4">
        <v>117.71112</v>
      </c>
      <c r="AD650" s="22"/>
      <c r="AE650" s="22"/>
      <c r="AF650" s="22"/>
      <c r="AG650" s="22"/>
      <c r="AH650" s="20">
        <f>132.48675+212.8304+132.3041</f>
        <v>477.62125</v>
      </c>
      <c r="AI650" s="4">
        <f>212.8304+132.3041</f>
        <v>345.1345</v>
      </c>
      <c r="AJ650" s="22">
        <v>132.48675</v>
      </c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>
        <v>1674.86476</v>
      </c>
      <c r="AZ650" s="4">
        <v>1401.04132</v>
      </c>
      <c r="BA650" s="4"/>
      <c r="BB650" s="4"/>
      <c r="BC650" s="22"/>
      <c r="BD650" s="22"/>
      <c r="BE650" s="22"/>
      <c r="BF650" s="22">
        <v>956.30194</v>
      </c>
      <c r="BG650" s="22">
        <v>598.04522</v>
      </c>
      <c r="BH650" s="22"/>
      <c r="BI650" s="22"/>
      <c r="BJ650" s="22">
        <v>149.68363</v>
      </c>
      <c r="BK650" s="22"/>
      <c r="BL650" s="22"/>
      <c r="BM650" s="22"/>
      <c r="BN650" s="22"/>
      <c r="BO650" s="4"/>
      <c r="BP650" s="4"/>
      <c r="BQ650" s="4"/>
      <c r="BR650" s="4"/>
      <c r="BS650" s="4"/>
      <c r="BT650" s="22"/>
      <c r="BU650" s="24"/>
    </row>
    <row r="651" spans="1:73" ht="73.5" customHeight="1" outlineLevel="2">
      <c r="A651" s="46" t="s">
        <v>328</v>
      </c>
      <c r="B651" s="45" t="s">
        <v>411</v>
      </c>
      <c r="C651" s="39">
        <f t="shared" si="108"/>
        <v>1733.14219</v>
      </c>
      <c r="D651" s="1">
        <f t="shared" si="106"/>
        <v>726.62946</v>
      </c>
      <c r="E651" s="1">
        <f t="shared" si="107"/>
        <v>1006.5127299999999</v>
      </c>
      <c r="F651" s="22"/>
      <c r="G651" s="22"/>
      <c r="H651" s="22"/>
      <c r="I651" s="22"/>
      <c r="J651" s="22"/>
      <c r="K651" s="22"/>
      <c r="L651" s="22"/>
      <c r="M651" s="22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22"/>
      <c r="AA651" s="22"/>
      <c r="AB651" s="23">
        <v>192.89623</v>
      </c>
      <c r="AC651" s="4">
        <v>93.23653</v>
      </c>
      <c r="AD651" s="22"/>
      <c r="AE651" s="22"/>
      <c r="AF651" s="22"/>
      <c r="AG651" s="22"/>
      <c r="AH651" s="20">
        <f>69.85665+89.9392</f>
        <v>159.79585</v>
      </c>
      <c r="AI651" s="4">
        <v>89.9392</v>
      </c>
      <c r="AJ651" s="22">
        <v>69.85665</v>
      </c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>
        <v>114.4949</v>
      </c>
      <c r="AZ651" s="4">
        <v>82.51082</v>
      </c>
      <c r="BA651" s="4"/>
      <c r="BB651" s="4"/>
      <c r="BC651" s="22"/>
      <c r="BD651" s="22">
        <v>408.65125</v>
      </c>
      <c r="BE651" s="22"/>
      <c r="BF651" s="22">
        <v>419.23833</v>
      </c>
      <c r="BG651" s="22">
        <v>262.31828</v>
      </c>
      <c r="BH651" s="22"/>
      <c r="BI651" s="22"/>
      <c r="BJ651" s="22"/>
      <c r="BK651" s="22"/>
      <c r="BL651" s="22"/>
      <c r="BM651" s="22"/>
      <c r="BN651" s="22"/>
      <c r="BO651" s="4"/>
      <c r="BP651" s="4"/>
      <c r="BQ651" s="4"/>
      <c r="BR651" s="4"/>
      <c r="BS651" s="4"/>
      <c r="BT651" s="22"/>
      <c r="BU651" s="24"/>
    </row>
    <row r="652" spans="1:73" ht="73.5" customHeight="1" outlineLevel="2">
      <c r="A652" s="46" t="s">
        <v>328</v>
      </c>
      <c r="B652" s="45" t="s">
        <v>344</v>
      </c>
      <c r="C652" s="39">
        <f t="shared" si="108"/>
        <v>7024.72955</v>
      </c>
      <c r="D652" s="1">
        <f t="shared" si="106"/>
        <v>3542.59013</v>
      </c>
      <c r="E652" s="1">
        <f t="shared" si="107"/>
        <v>3482.13942</v>
      </c>
      <c r="F652" s="22"/>
      <c r="G652" s="22"/>
      <c r="H652" s="22"/>
      <c r="I652" s="22"/>
      <c r="J652" s="22">
        <v>64.7766</v>
      </c>
      <c r="K652" s="22">
        <v>13.6924</v>
      </c>
      <c r="L652" s="22"/>
      <c r="M652" s="22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22"/>
      <c r="AA652" s="22">
        <v>144.2115</v>
      </c>
      <c r="AB652" s="23">
        <v>1408.43474</v>
      </c>
      <c r="AC652" s="4">
        <v>582.7283</v>
      </c>
      <c r="AD652" s="22"/>
      <c r="AE652" s="22"/>
      <c r="AF652" s="22"/>
      <c r="AG652" s="22"/>
      <c r="AH652" s="20">
        <f>438.4107+292.6418+408.1547</f>
        <v>1139.2072</v>
      </c>
      <c r="AI652" s="4">
        <f>292.6418+408.1547</f>
        <v>700.7964999999999</v>
      </c>
      <c r="AJ652" s="22">
        <v>438.4107</v>
      </c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>
        <v>307.84</v>
      </c>
      <c r="AY652" s="22"/>
      <c r="AZ652" s="4"/>
      <c r="BA652" s="4"/>
      <c r="BB652" s="4"/>
      <c r="BC652" s="22"/>
      <c r="BD652" s="22"/>
      <c r="BE652" s="22"/>
      <c r="BF652" s="22">
        <v>2069.37879</v>
      </c>
      <c r="BG652" s="22">
        <v>1294.46002</v>
      </c>
      <c r="BH652" s="22"/>
      <c r="BI652" s="22"/>
      <c r="BJ652" s="22"/>
      <c r="BK652" s="22"/>
      <c r="BL652" s="22"/>
      <c r="BM652" s="22"/>
      <c r="BN652" s="22"/>
      <c r="BO652" s="4"/>
      <c r="BP652" s="4"/>
      <c r="BQ652" s="4"/>
      <c r="BR652" s="4"/>
      <c r="BS652" s="4"/>
      <c r="BT652" s="22"/>
      <c r="BU652" s="24"/>
    </row>
    <row r="653" spans="1:73" ht="73.5" customHeight="1" outlineLevel="2">
      <c r="A653" s="44" t="s">
        <v>328</v>
      </c>
      <c r="B653" s="26" t="s">
        <v>1123</v>
      </c>
      <c r="C653" s="39">
        <f t="shared" si="108"/>
        <v>219.31082</v>
      </c>
      <c r="D653" s="1">
        <f t="shared" si="106"/>
        <v>96.33767</v>
      </c>
      <c r="E653" s="1">
        <f t="shared" si="107"/>
        <v>122.97315</v>
      </c>
      <c r="F653" s="22"/>
      <c r="G653" s="22"/>
      <c r="H653" s="22"/>
      <c r="I653" s="22"/>
      <c r="J653" s="22"/>
      <c r="K653" s="22"/>
      <c r="L653" s="22"/>
      <c r="M653" s="22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22"/>
      <c r="AA653" s="22"/>
      <c r="AB653" s="4"/>
      <c r="AC653" s="4"/>
      <c r="AD653" s="22"/>
      <c r="AE653" s="22"/>
      <c r="AF653" s="22"/>
      <c r="AG653" s="22"/>
      <c r="AH653" s="20">
        <f>28.9062+33.7272</f>
        <v>62.6334</v>
      </c>
      <c r="AI653" s="4">
        <v>33.7272</v>
      </c>
      <c r="AJ653" s="22">
        <v>28.9062</v>
      </c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4"/>
      <c r="BA653" s="4"/>
      <c r="BB653" s="4"/>
      <c r="BC653" s="22"/>
      <c r="BD653" s="22"/>
      <c r="BE653" s="22"/>
      <c r="BF653" s="22">
        <v>96.33767</v>
      </c>
      <c r="BG653" s="22">
        <v>60.33975</v>
      </c>
      <c r="BH653" s="22"/>
      <c r="BI653" s="22"/>
      <c r="BJ653" s="22"/>
      <c r="BK653" s="22"/>
      <c r="BL653" s="22"/>
      <c r="BM653" s="22"/>
      <c r="BN653" s="22"/>
      <c r="BO653" s="4"/>
      <c r="BP653" s="4"/>
      <c r="BQ653" s="4"/>
      <c r="BR653" s="4"/>
      <c r="BS653" s="4"/>
      <c r="BT653" s="22"/>
      <c r="BU653" s="24"/>
    </row>
    <row r="654" spans="1:73" ht="73.5" customHeight="1" outlineLevel="2">
      <c r="A654" s="44" t="s">
        <v>328</v>
      </c>
      <c r="B654" s="26" t="s">
        <v>46</v>
      </c>
      <c r="C654" s="39">
        <f t="shared" si="108"/>
        <v>534.554</v>
      </c>
      <c r="D654" s="1">
        <f t="shared" si="106"/>
        <v>322.55487</v>
      </c>
      <c r="E654" s="1">
        <f t="shared" si="107"/>
        <v>211.99913</v>
      </c>
      <c r="F654" s="22"/>
      <c r="G654" s="22"/>
      <c r="H654" s="22"/>
      <c r="I654" s="22"/>
      <c r="J654" s="22"/>
      <c r="K654" s="22"/>
      <c r="L654" s="22"/>
      <c r="M654" s="22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22"/>
      <c r="AA654" s="22"/>
      <c r="AB654" s="23">
        <v>149.16943</v>
      </c>
      <c r="AC654" s="4">
        <v>48.94918</v>
      </c>
      <c r="AD654" s="22"/>
      <c r="AE654" s="22"/>
      <c r="AF654" s="22"/>
      <c r="AG654" s="22"/>
      <c r="AH654" s="20">
        <f>26.49735+28.106</f>
        <v>54.603350000000006</v>
      </c>
      <c r="AI654" s="4">
        <v>28.106</v>
      </c>
      <c r="AJ654" s="22">
        <v>26.49735</v>
      </c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4"/>
      <c r="BA654" s="4"/>
      <c r="BB654" s="4"/>
      <c r="BC654" s="22"/>
      <c r="BD654" s="22"/>
      <c r="BE654" s="22"/>
      <c r="BF654" s="22">
        <v>173.38544</v>
      </c>
      <c r="BG654" s="22">
        <v>108.4466</v>
      </c>
      <c r="BH654" s="22"/>
      <c r="BI654" s="22"/>
      <c r="BJ654" s="22"/>
      <c r="BK654" s="22"/>
      <c r="BL654" s="22"/>
      <c r="BM654" s="22"/>
      <c r="BN654" s="22"/>
      <c r="BO654" s="4"/>
      <c r="BP654" s="4"/>
      <c r="BQ654" s="4"/>
      <c r="BR654" s="4"/>
      <c r="BS654" s="4"/>
      <c r="BT654" s="22"/>
      <c r="BU654" s="24"/>
    </row>
    <row r="655" spans="1:73" ht="73.5" customHeight="1" outlineLevel="2">
      <c r="A655" s="44" t="s">
        <v>328</v>
      </c>
      <c r="B655" s="26" t="s">
        <v>555</v>
      </c>
      <c r="C655" s="39">
        <f t="shared" si="108"/>
        <v>4692.00769</v>
      </c>
      <c r="D655" s="1">
        <f t="shared" si="106"/>
        <v>2680.7304999999997</v>
      </c>
      <c r="E655" s="1">
        <f t="shared" si="107"/>
        <v>2011.2771900000002</v>
      </c>
      <c r="F655" s="22"/>
      <c r="G655" s="22"/>
      <c r="H655" s="22"/>
      <c r="I655" s="22"/>
      <c r="J655" s="22">
        <v>349.92024</v>
      </c>
      <c r="K655" s="22">
        <v>292.13863</v>
      </c>
      <c r="L655" s="22"/>
      <c r="M655" s="22"/>
      <c r="N655" s="4"/>
      <c r="O655" s="4"/>
      <c r="P655" s="4"/>
      <c r="Q655" s="4"/>
      <c r="R655" s="4">
        <v>222.13309</v>
      </c>
      <c r="S655" s="4">
        <v>342.41581</v>
      </c>
      <c r="T655" s="4"/>
      <c r="U655" s="4"/>
      <c r="V655" s="4"/>
      <c r="W655" s="4"/>
      <c r="X655" s="4"/>
      <c r="Y655" s="4"/>
      <c r="Z655" s="22">
        <v>34.75158</v>
      </c>
      <c r="AA655" s="22"/>
      <c r="AB655" s="23">
        <v>443.96821</v>
      </c>
      <c r="AC655" s="4">
        <v>248.47535</v>
      </c>
      <c r="AD655" s="22"/>
      <c r="AE655" s="22"/>
      <c r="AF655" s="22"/>
      <c r="AG655" s="22"/>
      <c r="AH655" s="20">
        <f>168.6195+198.6422</f>
        <v>367.2617</v>
      </c>
      <c r="AI655" s="4">
        <v>198.6422</v>
      </c>
      <c r="AJ655" s="22">
        <v>168.6195</v>
      </c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>
        <v>695.63479</v>
      </c>
      <c r="AZ655" s="4">
        <v>177.06916</v>
      </c>
      <c r="BA655" s="4"/>
      <c r="BB655" s="4"/>
      <c r="BC655" s="22"/>
      <c r="BD655" s="22"/>
      <c r="BE655" s="22"/>
      <c r="BF655" s="22">
        <v>934.32259</v>
      </c>
      <c r="BG655" s="22">
        <v>583.91654</v>
      </c>
      <c r="BH655" s="22"/>
      <c r="BI655" s="22"/>
      <c r="BJ655" s="22"/>
      <c r="BK655" s="22"/>
      <c r="BL655" s="22"/>
      <c r="BM655" s="22"/>
      <c r="BN655" s="22"/>
      <c r="BO655" s="4"/>
      <c r="BP655" s="4"/>
      <c r="BQ655" s="4"/>
      <c r="BR655" s="4"/>
      <c r="BS655" s="4"/>
      <c r="BT655" s="22"/>
      <c r="BU655" s="24"/>
    </row>
    <row r="656" spans="1:73" ht="73.5" customHeight="1" outlineLevel="2">
      <c r="A656" s="44" t="s">
        <v>328</v>
      </c>
      <c r="B656" s="26" t="s">
        <v>596</v>
      </c>
      <c r="C656" s="39">
        <f t="shared" si="108"/>
        <v>266.47979</v>
      </c>
      <c r="D656" s="1">
        <f t="shared" si="106"/>
        <v>20.05222</v>
      </c>
      <c r="E656" s="1">
        <f t="shared" si="107"/>
        <v>246.42757</v>
      </c>
      <c r="F656" s="22"/>
      <c r="G656" s="22"/>
      <c r="H656" s="22"/>
      <c r="I656" s="22"/>
      <c r="J656" s="22"/>
      <c r="K656" s="22"/>
      <c r="L656" s="22"/>
      <c r="M656" s="22"/>
      <c r="N656" s="4"/>
      <c r="O656" s="4"/>
      <c r="P656" s="4"/>
      <c r="Q656" s="4"/>
      <c r="R656" s="4"/>
      <c r="S656" s="4"/>
      <c r="T656" s="4"/>
      <c r="U656" s="4"/>
      <c r="V656" s="4">
        <v>20.05222</v>
      </c>
      <c r="W656" s="4">
        <v>246.42757</v>
      </c>
      <c r="X656" s="4"/>
      <c r="Y656" s="4"/>
      <c r="Z656" s="22"/>
      <c r="AA656" s="22"/>
      <c r="AB656" s="23"/>
      <c r="AC656" s="4"/>
      <c r="AD656" s="22"/>
      <c r="AE656" s="22"/>
      <c r="AF656" s="22"/>
      <c r="AG656" s="22"/>
      <c r="AH656" s="20"/>
      <c r="AI656" s="4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4"/>
      <c r="BA656" s="4"/>
      <c r="BB656" s="4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4"/>
      <c r="BP656" s="4"/>
      <c r="BQ656" s="4"/>
      <c r="BR656" s="4"/>
      <c r="BS656" s="4"/>
      <c r="BT656" s="22"/>
      <c r="BU656" s="24"/>
    </row>
    <row r="657" spans="1:73" ht="73.5" customHeight="1" outlineLevel="2">
      <c r="A657" s="46" t="s">
        <v>328</v>
      </c>
      <c r="B657" s="45" t="s">
        <v>205</v>
      </c>
      <c r="C657" s="39">
        <f t="shared" si="108"/>
        <v>1603.1311</v>
      </c>
      <c r="D657" s="1">
        <f t="shared" si="106"/>
        <v>566.30487</v>
      </c>
      <c r="E657" s="1">
        <f t="shared" si="107"/>
        <v>1036.82623</v>
      </c>
      <c r="F657" s="22"/>
      <c r="G657" s="22"/>
      <c r="H657" s="22"/>
      <c r="I657" s="22"/>
      <c r="J657" s="22"/>
      <c r="K657" s="22"/>
      <c r="L657" s="22"/>
      <c r="M657" s="22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22"/>
      <c r="AA657" s="22"/>
      <c r="AB657" s="23">
        <v>247.84243</v>
      </c>
      <c r="AC657" s="4">
        <v>111.88383</v>
      </c>
      <c r="AD657" s="22"/>
      <c r="AE657" s="22"/>
      <c r="AF657" s="22"/>
      <c r="AG657" s="22"/>
      <c r="AH657" s="20">
        <f>45.76815+78.6968</f>
        <v>124.46494999999999</v>
      </c>
      <c r="AI657" s="4">
        <v>78.6968</v>
      </c>
      <c r="AJ657" s="22">
        <v>45.76815</v>
      </c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>
        <v>124.8</v>
      </c>
      <c r="AY657" s="22"/>
      <c r="AZ657" s="4"/>
      <c r="BA657" s="4"/>
      <c r="BB657" s="4"/>
      <c r="BC657" s="22"/>
      <c r="BD657" s="22">
        <v>475.97165</v>
      </c>
      <c r="BE657" s="22"/>
      <c r="BF657" s="22">
        <v>318.46244</v>
      </c>
      <c r="BG657" s="22">
        <v>199.7058</v>
      </c>
      <c r="BH657" s="22"/>
      <c r="BI657" s="22"/>
      <c r="BJ657" s="22"/>
      <c r="BK657" s="22"/>
      <c r="BL657" s="22"/>
      <c r="BM657" s="22"/>
      <c r="BN657" s="22"/>
      <c r="BO657" s="4"/>
      <c r="BP657" s="4"/>
      <c r="BQ657" s="4"/>
      <c r="BR657" s="4"/>
      <c r="BS657" s="4"/>
      <c r="BT657" s="22"/>
      <c r="BU657" s="24"/>
    </row>
    <row r="658" spans="1:73" ht="73.5" customHeight="1" outlineLevel="2">
      <c r="A658" s="46" t="s">
        <v>328</v>
      </c>
      <c r="B658" s="26" t="s">
        <v>512</v>
      </c>
      <c r="C658" s="39">
        <f t="shared" si="108"/>
        <v>174.72</v>
      </c>
      <c r="D658" s="1">
        <f t="shared" si="106"/>
        <v>0</v>
      </c>
      <c r="E658" s="1">
        <f t="shared" si="107"/>
        <v>174.72</v>
      </c>
      <c r="F658" s="22"/>
      <c r="G658" s="22"/>
      <c r="H658" s="22"/>
      <c r="I658" s="22"/>
      <c r="J658" s="22"/>
      <c r="K658" s="22"/>
      <c r="L658" s="22"/>
      <c r="M658" s="22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22"/>
      <c r="AA658" s="22"/>
      <c r="AB658" s="23"/>
      <c r="AC658" s="4"/>
      <c r="AD658" s="22"/>
      <c r="AE658" s="22"/>
      <c r="AF658" s="22"/>
      <c r="AG658" s="22"/>
      <c r="AH658" s="20"/>
      <c r="AI658" s="4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>
        <v>174.72</v>
      </c>
      <c r="AY658" s="22"/>
      <c r="AZ658" s="4"/>
      <c r="BA658" s="4"/>
      <c r="BB658" s="4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4"/>
      <c r="BP658" s="4"/>
      <c r="BQ658" s="4"/>
      <c r="BR658" s="4"/>
      <c r="BS658" s="4"/>
      <c r="BT658" s="22"/>
      <c r="BU658" s="24"/>
    </row>
    <row r="659" spans="1:73" ht="73.5" customHeight="1" outlineLevel="2">
      <c r="A659" s="46" t="s">
        <v>328</v>
      </c>
      <c r="B659" s="26" t="s">
        <v>1120</v>
      </c>
      <c r="C659" s="39">
        <f t="shared" si="108"/>
        <v>30.8763</v>
      </c>
      <c r="D659" s="1">
        <f t="shared" si="106"/>
        <v>0</v>
      </c>
      <c r="E659" s="1">
        <f t="shared" si="107"/>
        <v>30.8763</v>
      </c>
      <c r="F659" s="22"/>
      <c r="G659" s="22"/>
      <c r="H659" s="22"/>
      <c r="I659" s="22"/>
      <c r="J659" s="22"/>
      <c r="K659" s="22"/>
      <c r="L659" s="22"/>
      <c r="M659" s="22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22"/>
      <c r="AA659" s="22"/>
      <c r="AB659" s="23"/>
      <c r="AC659" s="4"/>
      <c r="AD659" s="22"/>
      <c r="AE659" s="22"/>
      <c r="AF659" s="22"/>
      <c r="AG659" s="22"/>
      <c r="AH659" s="20"/>
      <c r="AI659" s="4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4">
        <v>30.8763</v>
      </c>
      <c r="BA659" s="4"/>
      <c r="BB659" s="4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4"/>
      <c r="BP659" s="4"/>
      <c r="BQ659" s="4"/>
      <c r="BR659" s="4"/>
      <c r="BS659" s="4"/>
      <c r="BT659" s="22"/>
      <c r="BU659" s="24"/>
    </row>
    <row r="660" spans="1:73" ht="73.5" customHeight="1" outlineLevel="2">
      <c r="A660" s="46" t="s">
        <v>328</v>
      </c>
      <c r="B660" s="26" t="s">
        <v>804</v>
      </c>
      <c r="C660" s="39">
        <f>D660+E660</f>
        <v>2837.7</v>
      </c>
      <c r="D660" s="1">
        <f t="shared" si="106"/>
        <v>1500</v>
      </c>
      <c r="E660" s="1">
        <f t="shared" si="107"/>
        <v>1337.7</v>
      </c>
      <c r="F660" s="22"/>
      <c r="G660" s="22"/>
      <c r="H660" s="22"/>
      <c r="I660" s="22"/>
      <c r="J660" s="22"/>
      <c r="K660" s="22"/>
      <c r="L660" s="22"/>
      <c r="M660" s="22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22"/>
      <c r="AA660" s="22"/>
      <c r="AB660" s="4"/>
      <c r="AC660" s="4"/>
      <c r="AD660" s="22"/>
      <c r="AE660" s="22"/>
      <c r="AF660" s="22"/>
      <c r="AG660" s="22"/>
      <c r="AH660" s="20"/>
      <c r="AI660" s="4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4"/>
      <c r="BA660" s="4"/>
      <c r="BB660" s="4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4">
        <v>1500</v>
      </c>
      <c r="BP660" s="4">
        <v>1337.7</v>
      </c>
      <c r="BQ660" s="4"/>
      <c r="BR660" s="4"/>
      <c r="BS660" s="4"/>
      <c r="BT660" s="22"/>
      <c r="BU660" s="24"/>
    </row>
    <row r="661" spans="1:73" ht="73.5" customHeight="1" outlineLevel="2">
      <c r="A661" s="46" t="s">
        <v>328</v>
      </c>
      <c r="B661" s="26" t="s">
        <v>805</v>
      </c>
      <c r="C661" s="39">
        <f>D661+E661</f>
        <v>2951.1</v>
      </c>
      <c r="D661" s="1">
        <f t="shared" si="106"/>
        <v>1500</v>
      </c>
      <c r="E661" s="1">
        <f t="shared" si="107"/>
        <v>1451.1</v>
      </c>
      <c r="F661" s="22"/>
      <c r="G661" s="22"/>
      <c r="H661" s="22"/>
      <c r="I661" s="22"/>
      <c r="J661" s="22"/>
      <c r="K661" s="22"/>
      <c r="L661" s="22"/>
      <c r="M661" s="22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22"/>
      <c r="AA661" s="22"/>
      <c r="AB661" s="4"/>
      <c r="AC661" s="4"/>
      <c r="AD661" s="22"/>
      <c r="AE661" s="22"/>
      <c r="AF661" s="22"/>
      <c r="AG661" s="22"/>
      <c r="AH661" s="20"/>
      <c r="AI661" s="4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4"/>
      <c r="BA661" s="4"/>
      <c r="BB661" s="4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4">
        <v>1500</v>
      </c>
      <c r="BP661" s="4">
        <v>1451.1</v>
      </c>
      <c r="BQ661" s="4"/>
      <c r="BR661" s="4"/>
      <c r="BS661" s="4"/>
      <c r="BT661" s="22"/>
      <c r="BU661" s="24"/>
    </row>
    <row r="662" spans="1:73" ht="73.5" customHeight="1" outlineLevel="2">
      <c r="A662" s="46" t="s">
        <v>328</v>
      </c>
      <c r="B662" s="26" t="s">
        <v>845</v>
      </c>
      <c r="C662" s="39">
        <f>D662+E662</f>
        <v>2898.73</v>
      </c>
      <c r="D662" s="1">
        <f t="shared" si="106"/>
        <v>0</v>
      </c>
      <c r="E662" s="1">
        <f t="shared" si="107"/>
        <v>2898.73</v>
      </c>
      <c r="F662" s="22"/>
      <c r="G662" s="22"/>
      <c r="H662" s="22"/>
      <c r="I662" s="22"/>
      <c r="J662" s="22"/>
      <c r="K662" s="22"/>
      <c r="L662" s="22"/>
      <c r="M662" s="22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22"/>
      <c r="AA662" s="22"/>
      <c r="AB662" s="4"/>
      <c r="AC662" s="4"/>
      <c r="AD662" s="22"/>
      <c r="AE662" s="22"/>
      <c r="AF662" s="22"/>
      <c r="AG662" s="22"/>
      <c r="AH662" s="20"/>
      <c r="AI662" s="4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4"/>
      <c r="BA662" s="4"/>
      <c r="BB662" s="4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4"/>
      <c r="BP662" s="4">
        <v>2898.73</v>
      </c>
      <c r="BQ662" s="4"/>
      <c r="BR662" s="4"/>
      <c r="BS662" s="4"/>
      <c r="BT662" s="22"/>
      <c r="BU662" s="24"/>
    </row>
    <row r="663" spans="1:73" ht="73.5" customHeight="1" outlineLevel="2">
      <c r="A663" s="46" t="s">
        <v>328</v>
      </c>
      <c r="B663" s="26" t="s">
        <v>806</v>
      </c>
      <c r="C663" s="39">
        <f>D663+E663</f>
        <v>2779.6130000000003</v>
      </c>
      <c r="D663" s="1">
        <f t="shared" si="106"/>
        <v>1500</v>
      </c>
      <c r="E663" s="1">
        <f t="shared" si="107"/>
        <v>1279.613</v>
      </c>
      <c r="F663" s="22"/>
      <c r="G663" s="22"/>
      <c r="H663" s="22"/>
      <c r="I663" s="22"/>
      <c r="J663" s="22"/>
      <c r="K663" s="22"/>
      <c r="L663" s="22"/>
      <c r="M663" s="22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22"/>
      <c r="AA663" s="22"/>
      <c r="AB663" s="4"/>
      <c r="AC663" s="4"/>
      <c r="AD663" s="22"/>
      <c r="AE663" s="22"/>
      <c r="AF663" s="22"/>
      <c r="AG663" s="22"/>
      <c r="AH663" s="20"/>
      <c r="AI663" s="4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4"/>
      <c r="BA663" s="4"/>
      <c r="BB663" s="4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4">
        <v>1500</v>
      </c>
      <c r="BP663" s="4">
        <v>1279.613</v>
      </c>
      <c r="BQ663" s="4"/>
      <c r="BR663" s="4"/>
      <c r="BS663" s="4"/>
      <c r="BT663" s="22"/>
      <c r="BU663" s="24"/>
    </row>
    <row r="664" spans="1:73" ht="73.5" customHeight="1" outlineLevel="2">
      <c r="A664" s="46" t="s">
        <v>328</v>
      </c>
      <c r="B664" s="26" t="s">
        <v>807</v>
      </c>
      <c r="C664" s="39">
        <f>D664+E664</f>
        <v>2987</v>
      </c>
      <c r="D664" s="1">
        <f t="shared" si="106"/>
        <v>1500</v>
      </c>
      <c r="E664" s="1">
        <f t="shared" si="107"/>
        <v>1487</v>
      </c>
      <c r="F664" s="22"/>
      <c r="G664" s="22"/>
      <c r="H664" s="22"/>
      <c r="I664" s="22"/>
      <c r="J664" s="22"/>
      <c r="K664" s="22"/>
      <c r="L664" s="22"/>
      <c r="M664" s="22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22"/>
      <c r="AA664" s="22"/>
      <c r="AB664" s="4"/>
      <c r="AC664" s="4"/>
      <c r="AD664" s="22"/>
      <c r="AE664" s="22"/>
      <c r="AF664" s="22"/>
      <c r="AG664" s="22"/>
      <c r="AH664" s="20"/>
      <c r="AI664" s="4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4"/>
      <c r="BA664" s="4"/>
      <c r="BB664" s="4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4">
        <v>1500</v>
      </c>
      <c r="BP664" s="4">
        <v>1487</v>
      </c>
      <c r="BQ664" s="4"/>
      <c r="BR664" s="4"/>
      <c r="BS664" s="4"/>
      <c r="BT664" s="22"/>
      <c r="BU664" s="24"/>
    </row>
    <row r="665" spans="1:73" ht="73.5" customHeight="1" outlineLevel="2">
      <c r="A665" s="44" t="s">
        <v>328</v>
      </c>
      <c r="B665" s="26" t="s">
        <v>171</v>
      </c>
      <c r="C665" s="39">
        <f t="shared" si="108"/>
        <v>837.14546</v>
      </c>
      <c r="D665" s="1">
        <f t="shared" si="106"/>
        <v>532.26677</v>
      </c>
      <c r="E665" s="1">
        <f t="shared" si="107"/>
        <v>304.87869</v>
      </c>
      <c r="F665" s="22"/>
      <c r="G665" s="22"/>
      <c r="H665" s="22"/>
      <c r="I665" s="22"/>
      <c r="J665" s="22"/>
      <c r="K665" s="22"/>
      <c r="L665" s="22"/>
      <c r="M665" s="22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22"/>
      <c r="AA665" s="22">
        <v>11.583</v>
      </c>
      <c r="AB665" s="23">
        <v>193.93134</v>
      </c>
      <c r="AC665" s="4">
        <v>81.58196</v>
      </c>
      <c r="AD665" s="22"/>
      <c r="AE665" s="22"/>
      <c r="AF665" s="22"/>
      <c r="AG665" s="22"/>
      <c r="AH665" s="20"/>
      <c r="AI665" s="4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4"/>
      <c r="BA665" s="4"/>
      <c r="BB665" s="4"/>
      <c r="BC665" s="22"/>
      <c r="BD665" s="22"/>
      <c r="BE665" s="22"/>
      <c r="BF665" s="22">
        <v>338.33543</v>
      </c>
      <c r="BG665" s="22">
        <v>211.71373</v>
      </c>
      <c r="BH665" s="22"/>
      <c r="BI665" s="22"/>
      <c r="BJ665" s="22"/>
      <c r="BK665" s="22"/>
      <c r="BL665" s="22"/>
      <c r="BM665" s="22"/>
      <c r="BN665" s="22"/>
      <c r="BO665" s="4"/>
      <c r="BP665" s="4"/>
      <c r="BQ665" s="4"/>
      <c r="BR665" s="4"/>
      <c r="BS665" s="4"/>
      <c r="BT665" s="22"/>
      <c r="BU665" s="24"/>
    </row>
    <row r="666" spans="1:73" ht="73.5" customHeight="1" outlineLevel="2">
      <c r="A666" s="44" t="s">
        <v>328</v>
      </c>
      <c r="B666" s="26" t="s">
        <v>172</v>
      </c>
      <c r="C666" s="39">
        <f t="shared" si="108"/>
        <v>183.59438</v>
      </c>
      <c r="D666" s="1">
        <f t="shared" si="106"/>
        <v>76.44847</v>
      </c>
      <c r="E666" s="1">
        <f t="shared" si="107"/>
        <v>107.14591</v>
      </c>
      <c r="F666" s="22"/>
      <c r="G666" s="22"/>
      <c r="H666" s="22"/>
      <c r="I666" s="22"/>
      <c r="J666" s="22"/>
      <c r="K666" s="22"/>
      <c r="L666" s="22"/>
      <c r="M666" s="22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22"/>
      <c r="AA666" s="22"/>
      <c r="AB666" s="23">
        <v>28.29145</v>
      </c>
      <c r="AC666" s="4">
        <v>13.98548</v>
      </c>
      <c r="AD666" s="22"/>
      <c r="AE666" s="22"/>
      <c r="AF666" s="22"/>
      <c r="AG666" s="22"/>
      <c r="AH666" s="20">
        <f>2.70399+9.6354+16.8636</f>
        <v>29.202990000000003</v>
      </c>
      <c r="AI666" s="4">
        <v>16.8636</v>
      </c>
      <c r="AJ666" s="22">
        <v>12.33939</v>
      </c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4"/>
      <c r="BA666" s="4"/>
      <c r="BB666" s="4"/>
      <c r="BC666" s="22"/>
      <c r="BD666" s="22"/>
      <c r="BE666" s="22">
        <v>33.83265</v>
      </c>
      <c r="BF666" s="22">
        <v>48.15702</v>
      </c>
      <c r="BG666" s="22">
        <v>30.12479</v>
      </c>
      <c r="BH666" s="22"/>
      <c r="BI666" s="22"/>
      <c r="BJ666" s="22"/>
      <c r="BK666" s="22"/>
      <c r="BL666" s="22"/>
      <c r="BM666" s="22"/>
      <c r="BN666" s="22"/>
      <c r="BO666" s="4"/>
      <c r="BP666" s="4"/>
      <c r="BQ666" s="4"/>
      <c r="BR666" s="4"/>
      <c r="BS666" s="4"/>
      <c r="BT666" s="22"/>
      <c r="BU666" s="24"/>
    </row>
    <row r="667" spans="1:73" ht="73.5" customHeight="1" outlineLevel="2">
      <c r="A667" s="44" t="s">
        <v>328</v>
      </c>
      <c r="B667" s="26" t="s">
        <v>568</v>
      </c>
      <c r="C667" s="39">
        <f t="shared" si="108"/>
        <v>185.08</v>
      </c>
      <c r="D667" s="1">
        <f t="shared" si="106"/>
        <v>0</v>
      </c>
      <c r="E667" s="1">
        <f t="shared" si="107"/>
        <v>185.08</v>
      </c>
      <c r="F667" s="22"/>
      <c r="G667" s="22"/>
      <c r="H667" s="22"/>
      <c r="I667" s="22"/>
      <c r="J667" s="22"/>
      <c r="K667" s="22"/>
      <c r="L667" s="22"/>
      <c r="M667" s="22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22"/>
      <c r="AA667" s="22"/>
      <c r="AB667" s="23"/>
      <c r="AC667" s="4"/>
      <c r="AD667" s="22"/>
      <c r="AE667" s="22"/>
      <c r="AF667" s="22"/>
      <c r="AG667" s="22"/>
      <c r="AH667" s="20"/>
      <c r="AI667" s="4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>
        <v>50.6</v>
      </c>
      <c r="AX667" s="22">
        <v>116.48</v>
      </c>
      <c r="AY667" s="22"/>
      <c r="AZ667" s="4"/>
      <c r="BA667" s="4"/>
      <c r="BB667" s="4"/>
      <c r="BC667" s="22"/>
      <c r="BD667" s="22"/>
      <c r="BE667" s="22">
        <v>18</v>
      </c>
      <c r="BF667" s="22"/>
      <c r="BG667" s="22"/>
      <c r="BH667" s="22"/>
      <c r="BI667" s="22"/>
      <c r="BJ667" s="22"/>
      <c r="BK667" s="22"/>
      <c r="BL667" s="22"/>
      <c r="BM667" s="22"/>
      <c r="BN667" s="22"/>
      <c r="BO667" s="4"/>
      <c r="BP667" s="4"/>
      <c r="BQ667" s="4"/>
      <c r="BR667" s="4"/>
      <c r="BS667" s="4"/>
      <c r="BT667" s="22"/>
      <c r="BU667" s="24"/>
    </row>
    <row r="668" spans="1:73" ht="73.5" customHeight="1" outlineLevel="2">
      <c r="A668" s="44" t="s">
        <v>328</v>
      </c>
      <c r="B668" s="26" t="s">
        <v>488</v>
      </c>
      <c r="C668" s="39">
        <f t="shared" si="108"/>
        <v>1931.91051</v>
      </c>
      <c r="D668" s="1">
        <f t="shared" si="106"/>
        <v>135.53531</v>
      </c>
      <c r="E668" s="1">
        <f t="shared" si="107"/>
        <v>1796.3752</v>
      </c>
      <c r="F668" s="22"/>
      <c r="G668" s="22"/>
      <c r="H668" s="22"/>
      <c r="I668" s="22"/>
      <c r="J668" s="22"/>
      <c r="K668" s="22"/>
      <c r="L668" s="22"/>
      <c r="M668" s="22">
        <f>756.6808+937.35321</f>
        <v>1694.0340099999999</v>
      </c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22"/>
      <c r="AA668" s="22"/>
      <c r="AB668" s="23"/>
      <c r="AC668" s="4"/>
      <c r="AD668" s="22"/>
      <c r="AE668" s="22"/>
      <c r="AF668" s="22"/>
      <c r="AG668" s="22"/>
      <c r="AH668" s="20"/>
      <c r="AI668" s="4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4"/>
      <c r="BA668" s="4"/>
      <c r="BB668" s="4"/>
      <c r="BC668" s="22"/>
      <c r="BD668" s="22"/>
      <c r="BE668" s="22"/>
      <c r="BF668" s="22">
        <v>135.53531</v>
      </c>
      <c r="BG668" s="22">
        <v>102.34119</v>
      </c>
      <c r="BH668" s="22"/>
      <c r="BI668" s="22"/>
      <c r="BJ668" s="22"/>
      <c r="BK668" s="22"/>
      <c r="BL668" s="22"/>
      <c r="BM668" s="22"/>
      <c r="BN668" s="22"/>
      <c r="BO668" s="4"/>
      <c r="BP668" s="4"/>
      <c r="BQ668" s="4"/>
      <c r="BR668" s="4"/>
      <c r="BS668" s="4"/>
      <c r="BT668" s="22"/>
      <c r="BU668" s="24"/>
    </row>
    <row r="669" spans="1:73" ht="73.5" customHeight="1" outlineLevel="2">
      <c r="A669" s="46" t="s">
        <v>328</v>
      </c>
      <c r="B669" s="26" t="s">
        <v>951</v>
      </c>
      <c r="C669" s="39">
        <f t="shared" si="108"/>
        <v>310.30039999999997</v>
      </c>
      <c r="D669" s="1">
        <f t="shared" si="106"/>
        <v>0</v>
      </c>
      <c r="E669" s="1">
        <f t="shared" si="107"/>
        <v>310.30039999999997</v>
      </c>
      <c r="F669" s="22"/>
      <c r="G669" s="22"/>
      <c r="H669" s="22"/>
      <c r="I669" s="22"/>
      <c r="J669" s="22"/>
      <c r="K669" s="22"/>
      <c r="L669" s="22"/>
      <c r="M669" s="22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22"/>
      <c r="AA669" s="22"/>
      <c r="AB669" s="4"/>
      <c r="AC669" s="4"/>
      <c r="AD669" s="22"/>
      <c r="AE669" s="22"/>
      <c r="AF669" s="22"/>
      <c r="AG669" s="22"/>
      <c r="AH669" s="20"/>
      <c r="AI669" s="4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4"/>
      <c r="BA669" s="4"/>
      <c r="BB669" s="4"/>
      <c r="BC669" s="22"/>
      <c r="BD669" s="22"/>
      <c r="BE669" s="22">
        <v>144</v>
      </c>
      <c r="BF669" s="22"/>
      <c r="BG669" s="22"/>
      <c r="BH669" s="22"/>
      <c r="BI669" s="22"/>
      <c r="BJ669" s="22">
        <v>166.3004</v>
      </c>
      <c r="BK669" s="22"/>
      <c r="BL669" s="22"/>
      <c r="BM669" s="22"/>
      <c r="BN669" s="22"/>
      <c r="BO669" s="4"/>
      <c r="BP669" s="4"/>
      <c r="BQ669" s="4"/>
      <c r="BR669" s="4"/>
      <c r="BS669" s="4"/>
      <c r="BT669" s="22"/>
      <c r="BU669" s="24"/>
    </row>
    <row r="670" spans="1:73" ht="73.5" customHeight="1" outlineLevel="2">
      <c r="A670" s="46" t="s">
        <v>328</v>
      </c>
      <c r="B670" s="26" t="s">
        <v>952</v>
      </c>
      <c r="C670" s="39">
        <f>D670+E670</f>
        <v>2970</v>
      </c>
      <c r="D670" s="1">
        <f t="shared" si="106"/>
        <v>0</v>
      </c>
      <c r="E670" s="1">
        <f t="shared" si="107"/>
        <v>2970</v>
      </c>
      <c r="F670" s="22"/>
      <c r="G670" s="22"/>
      <c r="H670" s="22"/>
      <c r="I670" s="22"/>
      <c r="J670" s="22"/>
      <c r="K670" s="22"/>
      <c r="L670" s="22"/>
      <c r="M670" s="22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22"/>
      <c r="AA670" s="22"/>
      <c r="AB670" s="4"/>
      <c r="AC670" s="4"/>
      <c r="AD670" s="22"/>
      <c r="AE670" s="22"/>
      <c r="AF670" s="22"/>
      <c r="AG670" s="22"/>
      <c r="AH670" s="20"/>
      <c r="AI670" s="4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4"/>
      <c r="BA670" s="4"/>
      <c r="BB670" s="4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4"/>
      <c r="BP670" s="4">
        <v>2970</v>
      </c>
      <c r="BQ670" s="4"/>
      <c r="BR670" s="4"/>
      <c r="BS670" s="4"/>
      <c r="BT670" s="22"/>
      <c r="BU670" s="24"/>
    </row>
    <row r="671" spans="1:73" ht="73.5" customHeight="1" outlineLevel="2">
      <c r="A671" s="46" t="s">
        <v>328</v>
      </c>
      <c r="B671" s="26" t="s">
        <v>953</v>
      </c>
      <c r="C671" s="39">
        <f t="shared" si="108"/>
        <v>183.44101</v>
      </c>
      <c r="D671" s="1">
        <f t="shared" si="106"/>
        <v>116.29859</v>
      </c>
      <c r="E671" s="1">
        <f t="shared" si="107"/>
        <v>67.14242</v>
      </c>
      <c r="F671" s="22"/>
      <c r="G671" s="22"/>
      <c r="H671" s="22"/>
      <c r="I671" s="22"/>
      <c r="J671" s="22"/>
      <c r="K671" s="22"/>
      <c r="L671" s="22"/>
      <c r="M671" s="22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22"/>
      <c r="AA671" s="22"/>
      <c r="AB671" s="4">
        <v>93.52544</v>
      </c>
      <c r="AC671" s="4">
        <v>46.61826</v>
      </c>
      <c r="AD671" s="22"/>
      <c r="AE671" s="22"/>
      <c r="AF671" s="22"/>
      <c r="AG671" s="22"/>
      <c r="AH671" s="20"/>
      <c r="AI671" s="4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>
        <v>22.77315</v>
      </c>
      <c r="AZ671" s="4">
        <v>20.52416</v>
      </c>
      <c r="BA671" s="4"/>
      <c r="BB671" s="4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4"/>
      <c r="BP671" s="4"/>
      <c r="BQ671" s="4"/>
      <c r="BR671" s="4"/>
      <c r="BS671" s="4"/>
      <c r="BT671" s="22"/>
      <c r="BU671" s="24"/>
    </row>
    <row r="672" spans="1:73" ht="73.5" customHeight="1" outlineLevel="2">
      <c r="A672" s="46" t="s">
        <v>328</v>
      </c>
      <c r="B672" s="26" t="s">
        <v>82</v>
      </c>
      <c r="C672" s="39">
        <f t="shared" si="108"/>
        <v>105.5077</v>
      </c>
      <c r="D672" s="1">
        <f t="shared" si="106"/>
        <v>64.85622</v>
      </c>
      <c r="E672" s="1">
        <f t="shared" si="107"/>
        <v>40.65148</v>
      </c>
      <c r="F672" s="22"/>
      <c r="G672" s="22"/>
      <c r="H672" s="22"/>
      <c r="I672" s="22"/>
      <c r="J672" s="22"/>
      <c r="K672" s="22"/>
      <c r="L672" s="22"/>
      <c r="M672" s="22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22"/>
      <c r="AA672" s="22"/>
      <c r="AB672" s="4"/>
      <c r="AC672" s="4"/>
      <c r="AD672" s="22"/>
      <c r="AE672" s="22"/>
      <c r="AF672" s="22"/>
      <c r="AG672" s="22"/>
      <c r="AH672" s="20"/>
      <c r="AI672" s="4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4"/>
      <c r="BA672" s="4"/>
      <c r="BB672" s="4"/>
      <c r="BC672" s="22"/>
      <c r="BD672" s="22"/>
      <c r="BE672" s="22"/>
      <c r="BF672" s="22">
        <v>64.85622</v>
      </c>
      <c r="BG672" s="22">
        <v>40.65148</v>
      </c>
      <c r="BH672" s="22"/>
      <c r="BI672" s="22"/>
      <c r="BJ672" s="22"/>
      <c r="BK672" s="22"/>
      <c r="BL672" s="22"/>
      <c r="BM672" s="22"/>
      <c r="BN672" s="22"/>
      <c r="BO672" s="4"/>
      <c r="BP672" s="4"/>
      <c r="BQ672" s="4"/>
      <c r="BR672" s="4"/>
      <c r="BS672" s="4"/>
      <c r="BT672" s="22"/>
      <c r="BU672" s="24"/>
    </row>
    <row r="673" spans="1:73" ht="73.5" customHeight="1" outlineLevel="2">
      <c r="A673" s="44" t="s">
        <v>328</v>
      </c>
      <c r="B673" s="26" t="s">
        <v>1124</v>
      </c>
      <c r="C673" s="39">
        <f t="shared" si="108"/>
        <v>698.62853</v>
      </c>
      <c r="D673" s="1">
        <f t="shared" si="106"/>
        <v>0</v>
      </c>
      <c r="E673" s="1">
        <f t="shared" si="107"/>
        <v>698.62853</v>
      </c>
      <c r="F673" s="22"/>
      <c r="G673" s="22"/>
      <c r="H673" s="22"/>
      <c r="I673" s="22"/>
      <c r="J673" s="22"/>
      <c r="K673" s="22"/>
      <c r="L673" s="22"/>
      <c r="M673" s="22">
        <v>698.62853</v>
      </c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22"/>
      <c r="AA673" s="22"/>
      <c r="AB673" s="4"/>
      <c r="AC673" s="4"/>
      <c r="AD673" s="22"/>
      <c r="AE673" s="22"/>
      <c r="AF673" s="22"/>
      <c r="AG673" s="22"/>
      <c r="AH673" s="20"/>
      <c r="AI673" s="4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4"/>
      <c r="BA673" s="4"/>
      <c r="BB673" s="4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4"/>
      <c r="BP673" s="4"/>
      <c r="BQ673" s="4"/>
      <c r="BR673" s="4"/>
      <c r="BS673" s="4"/>
      <c r="BT673" s="22"/>
      <c r="BU673" s="24"/>
    </row>
    <row r="674" spans="1:73" ht="73.5" customHeight="1" outlineLevel="2">
      <c r="A674" s="46" t="s">
        <v>328</v>
      </c>
      <c r="B674" s="26" t="s">
        <v>954</v>
      </c>
      <c r="C674" s="39">
        <f t="shared" si="108"/>
        <v>330.65680999999995</v>
      </c>
      <c r="D674" s="1">
        <f t="shared" si="106"/>
        <v>16.19684</v>
      </c>
      <c r="E674" s="1">
        <f t="shared" si="107"/>
        <v>314.45996999999994</v>
      </c>
      <c r="F674" s="22"/>
      <c r="G674" s="22"/>
      <c r="H674" s="22"/>
      <c r="I674" s="22"/>
      <c r="J674" s="22"/>
      <c r="K674" s="22"/>
      <c r="L674" s="22"/>
      <c r="M674" s="22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22"/>
      <c r="AA674" s="22"/>
      <c r="AB674" s="4"/>
      <c r="AC674" s="4"/>
      <c r="AD674" s="22"/>
      <c r="AE674" s="22"/>
      <c r="AF674" s="22"/>
      <c r="AG674" s="22"/>
      <c r="AH674" s="20"/>
      <c r="AI674" s="4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>
        <v>87.975</v>
      </c>
      <c r="AX674" s="22">
        <v>216.32</v>
      </c>
      <c r="AY674" s="22"/>
      <c r="AZ674" s="4"/>
      <c r="BA674" s="4"/>
      <c r="BB674" s="4"/>
      <c r="BC674" s="22"/>
      <c r="BD674" s="22"/>
      <c r="BE674" s="22"/>
      <c r="BF674" s="22">
        <v>16.19684</v>
      </c>
      <c r="BG674" s="22">
        <v>10.16497</v>
      </c>
      <c r="BH674" s="22"/>
      <c r="BI674" s="22"/>
      <c r="BJ674" s="22"/>
      <c r="BK674" s="22"/>
      <c r="BL674" s="22"/>
      <c r="BM674" s="22"/>
      <c r="BN674" s="22"/>
      <c r="BO674" s="4"/>
      <c r="BP674" s="4"/>
      <c r="BQ674" s="4"/>
      <c r="BR674" s="4"/>
      <c r="BS674" s="4"/>
      <c r="BT674" s="22"/>
      <c r="BU674" s="24"/>
    </row>
    <row r="675" spans="1:73" ht="73.5" customHeight="1" outlineLevel="2">
      <c r="A675" s="46" t="s">
        <v>328</v>
      </c>
      <c r="B675" s="26" t="s">
        <v>955</v>
      </c>
      <c r="C675" s="39">
        <f t="shared" si="108"/>
        <v>38.2512</v>
      </c>
      <c r="D675" s="1">
        <f t="shared" si="106"/>
        <v>23.39073</v>
      </c>
      <c r="E675" s="1">
        <f t="shared" si="107"/>
        <v>14.86047</v>
      </c>
      <c r="F675" s="22"/>
      <c r="G675" s="22"/>
      <c r="H675" s="22"/>
      <c r="I675" s="22"/>
      <c r="J675" s="22"/>
      <c r="K675" s="22"/>
      <c r="L675" s="22"/>
      <c r="M675" s="22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22"/>
      <c r="AA675" s="22"/>
      <c r="AB675" s="4"/>
      <c r="AC675" s="4"/>
      <c r="AD675" s="22"/>
      <c r="AE675" s="22"/>
      <c r="AF675" s="22"/>
      <c r="AG675" s="22"/>
      <c r="AH675" s="20"/>
      <c r="AI675" s="4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>
        <v>23.39073</v>
      </c>
      <c r="AZ675" s="4">
        <v>14.86047</v>
      </c>
      <c r="BA675" s="4"/>
      <c r="BB675" s="4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4"/>
      <c r="BP675" s="4"/>
      <c r="BQ675" s="4"/>
      <c r="BR675" s="4"/>
      <c r="BS675" s="4"/>
      <c r="BT675" s="22"/>
      <c r="BU675" s="24"/>
    </row>
    <row r="676" spans="1:73" ht="73.5" customHeight="1" outlineLevel="2">
      <c r="A676" s="46" t="s">
        <v>328</v>
      </c>
      <c r="B676" s="26" t="s">
        <v>956</v>
      </c>
      <c r="C676" s="39">
        <f t="shared" si="108"/>
        <v>138.50078000000002</v>
      </c>
      <c r="D676" s="1">
        <f t="shared" si="106"/>
        <v>41.51481</v>
      </c>
      <c r="E676" s="1">
        <f t="shared" si="107"/>
        <v>96.98597000000001</v>
      </c>
      <c r="F676" s="22"/>
      <c r="G676" s="22"/>
      <c r="H676" s="22"/>
      <c r="I676" s="22"/>
      <c r="J676" s="22"/>
      <c r="K676" s="22"/>
      <c r="L676" s="22">
        <f>28.32039+1.06784</f>
        <v>29.38823</v>
      </c>
      <c r="M676" s="22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22"/>
      <c r="AA676" s="22"/>
      <c r="AB676" s="4"/>
      <c r="AC676" s="4"/>
      <c r="AD676" s="22"/>
      <c r="AE676" s="22"/>
      <c r="AF676" s="22"/>
      <c r="AG676" s="22"/>
      <c r="AH676" s="20"/>
      <c r="AI676" s="4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>
        <v>41.6</v>
      </c>
      <c r="AY676" s="22"/>
      <c r="AZ676" s="4"/>
      <c r="BA676" s="4"/>
      <c r="BB676" s="4"/>
      <c r="BC676" s="22"/>
      <c r="BD676" s="22"/>
      <c r="BE676" s="22"/>
      <c r="BF676" s="22">
        <v>41.51481</v>
      </c>
      <c r="BG676" s="22">
        <v>25.99774</v>
      </c>
      <c r="BH676" s="22"/>
      <c r="BI676" s="22"/>
      <c r="BJ676" s="22"/>
      <c r="BK676" s="22"/>
      <c r="BL676" s="22"/>
      <c r="BM676" s="22"/>
      <c r="BN676" s="22"/>
      <c r="BO676" s="4"/>
      <c r="BP676" s="4"/>
      <c r="BQ676" s="4"/>
      <c r="BR676" s="4"/>
      <c r="BS676" s="4"/>
      <c r="BT676" s="22"/>
      <c r="BU676" s="24"/>
    </row>
    <row r="677" spans="1:73" ht="73.5" customHeight="1" outlineLevel="2">
      <c r="A677" s="46" t="s">
        <v>328</v>
      </c>
      <c r="B677" s="26" t="s">
        <v>957</v>
      </c>
      <c r="C677" s="39">
        <f t="shared" si="108"/>
        <v>323.97804</v>
      </c>
      <c r="D677" s="1">
        <f t="shared" si="106"/>
        <v>173.59897</v>
      </c>
      <c r="E677" s="1">
        <f t="shared" si="107"/>
        <v>150.37907</v>
      </c>
      <c r="F677" s="22"/>
      <c r="G677" s="22"/>
      <c r="H677" s="22"/>
      <c r="I677" s="22"/>
      <c r="J677" s="22"/>
      <c r="K677" s="22"/>
      <c r="L677" s="22"/>
      <c r="M677" s="22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22"/>
      <c r="AA677" s="22"/>
      <c r="AB677" s="4">
        <v>66.49075</v>
      </c>
      <c r="AC677" s="4">
        <v>27.97096</v>
      </c>
      <c r="AD677" s="22"/>
      <c r="AE677" s="22"/>
      <c r="AF677" s="22"/>
      <c r="AG677" s="22"/>
      <c r="AH677" s="20">
        <f>21.67965+33.7272</f>
        <v>55.406850000000006</v>
      </c>
      <c r="AI677" s="4">
        <v>33.7272</v>
      </c>
      <c r="AJ677" s="22">
        <v>21.67965</v>
      </c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4"/>
      <c r="BA677" s="4"/>
      <c r="BB677" s="4"/>
      <c r="BC677" s="22"/>
      <c r="BD677" s="22"/>
      <c r="BE677" s="22"/>
      <c r="BF677" s="22">
        <v>107.10822</v>
      </c>
      <c r="BG677" s="22">
        <v>67.00126</v>
      </c>
      <c r="BH677" s="22"/>
      <c r="BI677" s="22"/>
      <c r="BJ677" s="22"/>
      <c r="BK677" s="22"/>
      <c r="BL677" s="22"/>
      <c r="BM677" s="22"/>
      <c r="BN677" s="22"/>
      <c r="BO677" s="4"/>
      <c r="BP677" s="4"/>
      <c r="BQ677" s="4"/>
      <c r="BR677" s="4"/>
      <c r="BS677" s="4"/>
      <c r="BT677" s="22"/>
      <c r="BU677" s="24"/>
    </row>
    <row r="678" spans="1:73" ht="73.5" customHeight="1" outlineLevel="2">
      <c r="A678" s="46" t="s">
        <v>328</v>
      </c>
      <c r="B678" s="26" t="s">
        <v>958</v>
      </c>
      <c r="C678" s="39">
        <f t="shared" si="108"/>
        <v>2583.7712</v>
      </c>
      <c r="D678" s="1">
        <f t="shared" si="106"/>
        <v>622.66281</v>
      </c>
      <c r="E678" s="1">
        <f t="shared" si="107"/>
        <v>1961.1083899999999</v>
      </c>
      <c r="F678" s="22"/>
      <c r="G678" s="22"/>
      <c r="H678" s="22"/>
      <c r="I678" s="22"/>
      <c r="J678" s="22"/>
      <c r="K678" s="22"/>
      <c r="L678" s="22"/>
      <c r="M678" s="22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22"/>
      <c r="AA678" s="22"/>
      <c r="AB678" s="4"/>
      <c r="AC678" s="4"/>
      <c r="AD678" s="22"/>
      <c r="AE678" s="22"/>
      <c r="AF678" s="22"/>
      <c r="AG678" s="22"/>
      <c r="AH678" s="20">
        <f>26.49735+44.9696</f>
        <v>71.46695</v>
      </c>
      <c r="AI678" s="4">
        <v>44.9696</v>
      </c>
      <c r="AJ678" s="22">
        <v>26.49735</v>
      </c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>
        <v>188.50378</v>
      </c>
      <c r="AZ678" s="4">
        <v>300.09551</v>
      </c>
      <c r="BA678" s="4"/>
      <c r="BB678" s="4"/>
      <c r="BC678" s="22"/>
      <c r="BD678" s="22"/>
      <c r="BE678" s="22">
        <v>1318.22034</v>
      </c>
      <c r="BF678" s="22">
        <v>434.15903</v>
      </c>
      <c r="BG678" s="22">
        <v>271.32559</v>
      </c>
      <c r="BH678" s="22"/>
      <c r="BI678" s="22"/>
      <c r="BJ678" s="22"/>
      <c r="BK678" s="22"/>
      <c r="BL678" s="22"/>
      <c r="BM678" s="22"/>
      <c r="BN678" s="22"/>
      <c r="BO678" s="4"/>
      <c r="BP678" s="4"/>
      <c r="BQ678" s="4"/>
      <c r="BR678" s="4"/>
      <c r="BS678" s="4"/>
      <c r="BT678" s="22"/>
      <c r="BU678" s="24"/>
    </row>
    <row r="679" spans="1:73" ht="73.5" customHeight="1" outlineLevel="2">
      <c r="A679" s="46" t="s">
        <v>328</v>
      </c>
      <c r="B679" s="26" t="s">
        <v>959</v>
      </c>
      <c r="C679" s="39">
        <f t="shared" si="108"/>
        <v>379.46798</v>
      </c>
      <c r="D679" s="1">
        <f t="shared" si="106"/>
        <v>233.64065</v>
      </c>
      <c r="E679" s="1">
        <f t="shared" si="107"/>
        <v>145.82733</v>
      </c>
      <c r="F679" s="22"/>
      <c r="G679" s="22"/>
      <c r="H679" s="22"/>
      <c r="I679" s="22"/>
      <c r="J679" s="22"/>
      <c r="K679" s="22"/>
      <c r="L679" s="22"/>
      <c r="M679" s="22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22"/>
      <c r="AA679" s="22"/>
      <c r="AB679" s="4"/>
      <c r="AC679" s="4"/>
      <c r="AD679" s="22"/>
      <c r="AE679" s="22"/>
      <c r="AF679" s="22"/>
      <c r="AG679" s="22"/>
      <c r="AH679" s="20"/>
      <c r="AI679" s="4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4"/>
      <c r="BA679" s="4"/>
      <c r="BB679" s="4"/>
      <c r="BC679" s="22"/>
      <c r="BD679" s="22"/>
      <c r="BE679" s="22"/>
      <c r="BF679" s="22">
        <v>233.64065</v>
      </c>
      <c r="BG679" s="22">
        <v>145.82733</v>
      </c>
      <c r="BH679" s="22"/>
      <c r="BI679" s="22"/>
      <c r="BJ679" s="22"/>
      <c r="BK679" s="22"/>
      <c r="BL679" s="22"/>
      <c r="BM679" s="22"/>
      <c r="BN679" s="22"/>
      <c r="BO679" s="4"/>
      <c r="BP679" s="4"/>
      <c r="BQ679" s="4"/>
      <c r="BR679" s="4"/>
      <c r="BS679" s="4"/>
      <c r="BT679" s="22"/>
      <c r="BU679" s="24"/>
    </row>
    <row r="680" spans="1:73" ht="73.5" customHeight="1" outlineLevel="2">
      <c r="A680" s="46" t="s">
        <v>328</v>
      </c>
      <c r="B680" s="26" t="s">
        <v>960</v>
      </c>
      <c r="C680" s="39">
        <f t="shared" si="108"/>
        <v>5317.24152</v>
      </c>
      <c r="D680" s="1">
        <f t="shared" si="106"/>
        <v>4.25969</v>
      </c>
      <c r="E680" s="1">
        <f t="shared" si="107"/>
        <v>5312.98183</v>
      </c>
      <c r="F680" s="22"/>
      <c r="G680" s="22"/>
      <c r="H680" s="22"/>
      <c r="I680" s="22"/>
      <c r="J680" s="22"/>
      <c r="K680" s="22"/>
      <c r="L680" s="22"/>
      <c r="M680" s="22">
        <f>636.5133+630.3312+1360.632</f>
        <v>2627.4764999999998</v>
      </c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22"/>
      <c r="AA680" s="22"/>
      <c r="AB680" s="4"/>
      <c r="AC680" s="4"/>
      <c r="AD680" s="22"/>
      <c r="AE680" s="22"/>
      <c r="AF680" s="22"/>
      <c r="AG680" s="22"/>
      <c r="AH680" s="20"/>
      <c r="AI680" s="4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4"/>
      <c r="BA680" s="4"/>
      <c r="BB680" s="4"/>
      <c r="BC680" s="22"/>
      <c r="BD680" s="22"/>
      <c r="BE680" s="22"/>
      <c r="BF680" s="22">
        <v>4.25969</v>
      </c>
      <c r="BG680" s="22">
        <v>17.00533</v>
      </c>
      <c r="BH680" s="22"/>
      <c r="BI680" s="22"/>
      <c r="BJ680" s="22"/>
      <c r="BK680" s="22"/>
      <c r="BL680" s="22"/>
      <c r="BM680" s="22"/>
      <c r="BN680" s="22"/>
      <c r="BO680" s="4"/>
      <c r="BP680" s="4">
        <v>2668.5</v>
      </c>
      <c r="BQ680" s="4"/>
      <c r="BR680" s="4"/>
      <c r="BS680" s="4"/>
      <c r="BT680" s="22"/>
      <c r="BU680" s="24"/>
    </row>
    <row r="681" spans="1:73" ht="73.5" customHeight="1" outlineLevel="2">
      <c r="A681" s="46" t="s">
        <v>328</v>
      </c>
      <c r="B681" s="26" t="s">
        <v>961</v>
      </c>
      <c r="C681" s="39">
        <f t="shared" si="108"/>
        <v>2334.59757</v>
      </c>
      <c r="D681" s="1">
        <f t="shared" si="106"/>
        <v>186.28869</v>
      </c>
      <c r="E681" s="1">
        <f t="shared" si="107"/>
        <v>2148.30888</v>
      </c>
      <c r="F681" s="22"/>
      <c r="G681" s="22"/>
      <c r="H681" s="22"/>
      <c r="I681" s="22"/>
      <c r="J681" s="22"/>
      <c r="K681" s="22"/>
      <c r="L681" s="22"/>
      <c r="M681" s="22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22"/>
      <c r="AA681" s="22"/>
      <c r="AB681" s="4">
        <v>4.07712</v>
      </c>
      <c r="AC681" s="4">
        <v>2.09782</v>
      </c>
      <c r="AD681" s="22"/>
      <c r="AE681" s="22"/>
      <c r="AF681" s="22"/>
      <c r="AG681" s="22"/>
      <c r="AH681" s="20"/>
      <c r="AI681" s="4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4"/>
      <c r="BA681" s="4"/>
      <c r="BB681" s="4"/>
      <c r="BC681" s="22"/>
      <c r="BD681" s="22"/>
      <c r="BE681" s="22"/>
      <c r="BF681" s="22">
        <v>160.61157</v>
      </c>
      <c r="BG681" s="22">
        <f>3.09435+119.46156</f>
        <v>122.55591000000001</v>
      </c>
      <c r="BH681" s="22">
        <v>21.6</v>
      </c>
      <c r="BI681" s="22">
        <v>23.65515</v>
      </c>
      <c r="BJ681" s="22"/>
      <c r="BK681" s="22"/>
      <c r="BL681" s="22"/>
      <c r="BM681" s="22"/>
      <c r="BN681" s="22">
        <v>2000</v>
      </c>
      <c r="BO681" s="4"/>
      <c r="BP681" s="4"/>
      <c r="BQ681" s="4"/>
      <c r="BR681" s="4"/>
      <c r="BS681" s="4"/>
      <c r="BT681" s="22"/>
      <c r="BU681" s="24"/>
    </row>
    <row r="682" spans="1:73" ht="73.5" customHeight="1" outlineLevel="2">
      <c r="A682" s="46" t="s">
        <v>328</v>
      </c>
      <c r="B682" s="26" t="s">
        <v>962</v>
      </c>
      <c r="C682" s="39">
        <f t="shared" si="108"/>
        <v>103.10029</v>
      </c>
      <c r="D682" s="1">
        <f t="shared" si="106"/>
        <v>64.79387</v>
      </c>
      <c r="E682" s="1">
        <f t="shared" si="107"/>
        <v>38.30642</v>
      </c>
      <c r="F682" s="22"/>
      <c r="G682" s="22"/>
      <c r="H682" s="22"/>
      <c r="I682" s="22"/>
      <c r="J682" s="22"/>
      <c r="K682" s="22"/>
      <c r="L682" s="22"/>
      <c r="M682" s="22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22"/>
      <c r="AA682" s="22"/>
      <c r="AB682" s="4">
        <v>20.27602</v>
      </c>
      <c r="AC682" s="4">
        <v>10.48911</v>
      </c>
      <c r="AD682" s="22"/>
      <c r="AE682" s="22"/>
      <c r="AF682" s="22"/>
      <c r="AG682" s="22"/>
      <c r="AH682" s="20"/>
      <c r="AI682" s="4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4"/>
      <c r="BA682" s="4"/>
      <c r="BB682" s="4"/>
      <c r="BC682" s="22"/>
      <c r="BD682" s="22"/>
      <c r="BE682" s="22"/>
      <c r="BF682" s="22">
        <v>44.51785</v>
      </c>
      <c r="BG682" s="22">
        <v>27.81731</v>
      </c>
      <c r="BH682" s="22"/>
      <c r="BI682" s="22"/>
      <c r="BJ682" s="22"/>
      <c r="BK682" s="22"/>
      <c r="BL682" s="22"/>
      <c r="BM682" s="22"/>
      <c r="BN682" s="22"/>
      <c r="BO682" s="4"/>
      <c r="BP682" s="4"/>
      <c r="BQ682" s="4"/>
      <c r="BR682" s="4"/>
      <c r="BS682" s="4"/>
      <c r="BT682" s="22"/>
      <c r="BU682" s="24"/>
    </row>
    <row r="683" spans="1:73" ht="73.5" customHeight="1" outlineLevel="2">
      <c r="A683" s="46" t="s">
        <v>328</v>
      </c>
      <c r="B683" s="26" t="s">
        <v>963</v>
      </c>
      <c r="C683" s="39">
        <f t="shared" si="108"/>
        <v>70.86902</v>
      </c>
      <c r="D683" s="1">
        <f t="shared" si="106"/>
        <v>44.99913</v>
      </c>
      <c r="E683" s="1">
        <f t="shared" si="107"/>
        <v>25.869889999999998</v>
      </c>
      <c r="F683" s="22"/>
      <c r="G683" s="22"/>
      <c r="H683" s="22"/>
      <c r="I683" s="22"/>
      <c r="J683" s="22"/>
      <c r="K683" s="22"/>
      <c r="L683" s="22"/>
      <c r="M683" s="22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22"/>
      <c r="AA683" s="22"/>
      <c r="AB683" s="4">
        <v>15.91394</v>
      </c>
      <c r="AC683" s="4">
        <v>7.69201</v>
      </c>
      <c r="AD683" s="22"/>
      <c r="AE683" s="22"/>
      <c r="AF683" s="22"/>
      <c r="AG683" s="22"/>
      <c r="AH683" s="20"/>
      <c r="AI683" s="4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4"/>
      <c r="BA683" s="4"/>
      <c r="BB683" s="4"/>
      <c r="BC683" s="22"/>
      <c r="BD683" s="22"/>
      <c r="BE683" s="22"/>
      <c r="BF683" s="22">
        <v>29.08519</v>
      </c>
      <c r="BG683" s="22">
        <v>18.17788</v>
      </c>
      <c r="BH683" s="22"/>
      <c r="BI683" s="22"/>
      <c r="BJ683" s="22"/>
      <c r="BK683" s="22"/>
      <c r="BL683" s="22"/>
      <c r="BM683" s="22"/>
      <c r="BN683" s="22"/>
      <c r="BO683" s="4"/>
      <c r="BP683" s="4"/>
      <c r="BQ683" s="4"/>
      <c r="BR683" s="4"/>
      <c r="BS683" s="4"/>
      <c r="BT683" s="22"/>
      <c r="BU683" s="24"/>
    </row>
    <row r="684" spans="1:73" ht="73.5" customHeight="1" outlineLevel="2">
      <c r="A684" s="46" t="s">
        <v>328</v>
      </c>
      <c r="B684" s="26" t="s">
        <v>964</v>
      </c>
      <c r="C684" s="39">
        <f t="shared" si="108"/>
        <v>107.97906</v>
      </c>
      <c r="D684" s="1">
        <f t="shared" si="106"/>
        <v>66.33065</v>
      </c>
      <c r="E684" s="1">
        <f t="shared" si="107"/>
        <v>41.64841</v>
      </c>
      <c r="F684" s="22"/>
      <c r="G684" s="22"/>
      <c r="H684" s="22"/>
      <c r="I684" s="22"/>
      <c r="J684" s="22"/>
      <c r="K684" s="22"/>
      <c r="L684" s="22"/>
      <c r="M684" s="22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22"/>
      <c r="AA684" s="22"/>
      <c r="AB684" s="4"/>
      <c r="AC684" s="4"/>
      <c r="AD684" s="22"/>
      <c r="AE684" s="22"/>
      <c r="AF684" s="22"/>
      <c r="AG684" s="22"/>
      <c r="AH684" s="20"/>
      <c r="AI684" s="4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4"/>
      <c r="BA684" s="4"/>
      <c r="BB684" s="4"/>
      <c r="BC684" s="22"/>
      <c r="BD684" s="22"/>
      <c r="BE684" s="22"/>
      <c r="BF684" s="22">
        <v>66.33065</v>
      </c>
      <c r="BG684" s="22">
        <v>41.64841</v>
      </c>
      <c r="BH684" s="22"/>
      <c r="BI684" s="22"/>
      <c r="BJ684" s="22"/>
      <c r="BK684" s="22"/>
      <c r="BL684" s="22"/>
      <c r="BM684" s="22"/>
      <c r="BN684" s="22"/>
      <c r="BO684" s="4"/>
      <c r="BP684" s="4"/>
      <c r="BQ684" s="4"/>
      <c r="BR684" s="4"/>
      <c r="BS684" s="4"/>
      <c r="BT684" s="22"/>
      <c r="BU684" s="24"/>
    </row>
    <row r="685" spans="1:73" ht="73.5" customHeight="1" outlineLevel="2">
      <c r="A685" s="44" t="s">
        <v>328</v>
      </c>
      <c r="B685" s="26" t="s">
        <v>965</v>
      </c>
      <c r="C685" s="39">
        <f t="shared" si="108"/>
        <v>214.3902</v>
      </c>
      <c r="D685" s="1">
        <f t="shared" si="106"/>
        <v>126.38326</v>
      </c>
      <c r="E685" s="1">
        <f t="shared" si="107"/>
        <v>88.00694</v>
      </c>
      <c r="F685" s="22"/>
      <c r="G685" s="22"/>
      <c r="H685" s="22"/>
      <c r="I685" s="22"/>
      <c r="J685" s="22"/>
      <c r="K685" s="22"/>
      <c r="L685" s="22"/>
      <c r="M685" s="22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22"/>
      <c r="AA685" s="22"/>
      <c r="AB685" s="4"/>
      <c r="AC685" s="4"/>
      <c r="AD685" s="22"/>
      <c r="AE685" s="22"/>
      <c r="AF685" s="22"/>
      <c r="AG685" s="22"/>
      <c r="AH685" s="20"/>
      <c r="AI685" s="4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4"/>
      <c r="BA685" s="4"/>
      <c r="BB685" s="4"/>
      <c r="BC685" s="22"/>
      <c r="BD685" s="22"/>
      <c r="BE685" s="22"/>
      <c r="BF685" s="22">
        <v>96.68326</v>
      </c>
      <c r="BG685" s="22">
        <f>1.39619+52.49192</f>
        <v>53.88811</v>
      </c>
      <c r="BH685" s="22">
        <v>29.7</v>
      </c>
      <c r="BI685" s="22">
        <v>34.11883</v>
      </c>
      <c r="BJ685" s="22"/>
      <c r="BK685" s="22"/>
      <c r="BL685" s="22"/>
      <c r="BM685" s="22"/>
      <c r="BN685" s="22"/>
      <c r="BO685" s="4"/>
      <c r="BP685" s="4"/>
      <c r="BQ685" s="4"/>
      <c r="BR685" s="4"/>
      <c r="BS685" s="4"/>
      <c r="BT685" s="22"/>
      <c r="BU685" s="24"/>
    </row>
    <row r="686" spans="1:73" ht="73.5" customHeight="1" outlineLevel="2">
      <c r="A686" s="44" t="s">
        <v>328</v>
      </c>
      <c r="B686" s="26" t="s">
        <v>259</v>
      </c>
      <c r="C686" s="39">
        <f t="shared" si="108"/>
        <v>95.55506</v>
      </c>
      <c r="D686" s="1">
        <f t="shared" si="106"/>
        <v>61.49892</v>
      </c>
      <c r="E686" s="1">
        <f t="shared" si="107"/>
        <v>34.05614</v>
      </c>
      <c r="F686" s="22"/>
      <c r="G686" s="22"/>
      <c r="H686" s="22"/>
      <c r="I686" s="22"/>
      <c r="J686" s="22"/>
      <c r="K686" s="22"/>
      <c r="L686" s="22"/>
      <c r="M686" s="22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22"/>
      <c r="AA686" s="22"/>
      <c r="AB686" s="23">
        <v>21.96874</v>
      </c>
      <c r="AC686" s="4">
        <v>9.32365</v>
      </c>
      <c r="AD686" s="22"/>
      <c r="AE686" s="22"/>
      <c r="AF686" s="22"/>
      <c r="AG686" s="22"/>
      <c r="AH686" s="20"/>
      <c r="AI686" s="4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4"/>
      <c r="BA686" s="4"/>
      <c r="BB686" s="4"/>
      <c r="BC686" s="22"/>
      <c r="BD686" s="22"/>
      <c r="BE686" s="22"/>
      <c r="BF686" s="22">
        <v>39.53018</v>
      </c>
      <c r="BG686" s="22">
        <v>24.73249</v>
      </c>
      <c r="BH686" s="22"/>
      <c r="BI686" s="22"/>
      <c r="BJ686" s="22"/>
      <c r="BK686" s="22"/>
      <c r="BL686" s="22"/>
      <c r="BM686" s="22"/>
      <c r="BN686" s="22"/>
      <c r="BO686" s="4"/>
      <c r="BP686" s="4"/>
      <c r="BQ686" s="4"/>
      <c r="BR686" s="4"/>
      <c r="BS686" s="4"/>
      <c r="BT686" s="22"/>
      <c r="BU686" s="24"/>
    </row>
    <row r="687" spans="1:73" ht="73.5" customHeight="1" outlineLevel="2">
      <c r="A687" s="44" t="s">
        <v>328</v>
      </c>
      <c r="B687" s="26" t="s">
        <v>782</v>
      </c>
      <c r="C687" s="39">
        <f t="shared" si="108"/>
        <v>48.933859999999996</v>
      </c>
      <c r="D687" s="1">
        <f t="shared" si="106"/>
        <v>14.86044</v>
      </c>
      <c r="E687" s="1">
        <f t="shared" si="107"/>
        <v>34.07342</v>
      </c>
      <c r="F687" s="22"/>
      <c r="G687" s="22"/>
      <c r="H687" s="22"/>
      <c r="I687" s="22"/>
      <c r="J687" s="22"/>
      <c r="K687" s="22"/>
      <c r="L687" s="22"/>
      <c r="M687" s="22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22"/>
      <c r="AA687" s="22"/>
      <c r="AB687" s="23"/>
      <c r="AC687" s="4"/>
      <c r="AD687" s="22"/>
      <c r="AE687" s="22"/>
      <c r="AF687" s="22"/>
      <c r="AG687" s="22"/>
      <c r="AH687" s="20"/>
      <c r="AI687" s="4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>
        <v>14.86044</v>
      </c>
      <c r="AZ687" s="4">
        <v>34.07342</v>
      </c>
      <c r="BA687" s="4"/>
      <c r="BB687" s="4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4"/>
      <c r="BP687" s="4"/>
      <c r="BQ687" s="4"/>
      <c r="BR687" s="4"/>
      <c r="BS687" s="4"/>
      <c r="BT687" s="22"/>
      <c r="BU687" s="24"/>
    </row>
    <row r="688" spans="1:73" ht="73.5" customHeight="1" outlineLevel="2">
      <c r="A688" s="44" t="s">
        <v>328</v>
      </c>
      <c r="B688" s="26" t="s">
        <v>966</v>
      </c>
      <c r="C688" s="39">
        <f t="shared" si="108"/>
        <v>71.79514</v>
      </c>
      <c r="D688" s="1">
        <f t="shared" si="106"/>
        <v>13.02701</v>
      </c>
      <c r="E688" s="1">
        <f t="shared" si="107"/>
        <v>58.76813</v>
      </c>
      <c r="F688" s="22"/>
      <c r="G688" s="22"/>
      <c r="H688" s="22"/>
      <c r="I688" s="22"/>
      <c r="J688" s="22"/>
      <c r="K688" s="22"/>
      <c r="L688" s="22"/>
      <c r="M688" s="22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22"/>
      <c r="AA688" s="22"/>
      <c r="AB688" s="23"/>
      <c r="AC688" s="4"/>
      <c r="AD688" s="22"/>
      <c r="AE688" s="22"/>
      <c r="AF688" s="22"/>
      <c r="AG688" s="22"/>
      <c r="AH688" s="20"/>
      <c r="AI688" s="4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>
        <v>13.02701</v>
      </c>
      <c r="AZ688" s="4">
        <v>58.76813</v>
      </c>
      <c r="BA688" s="4"/>
      <c r="BB688" s="4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4"/>
      <c r="BP688" s="4"/>
      <c r="BQ688" s="4"/>
      <c r="BR688" s="4"/>
      <c r="BS688" s="4"/>
      <c r="BT688" s="22"/>
      <c r="BU688" s="24"/>
    </row>
    <row r="689" spans="1:73" ht="73.5" customHeight="1" outlineLevel="2">
      <c r="A689" s="44" t="s">
        <v>328</v>
      </c>
      <c r="B689" s="26" t="s">
        <v>967</v>
      </c>
      <c r="C689" s="39">
        <f>D689+E689</f>
        <v>1270.54134</v>
      </c>
      <c r="D689" s="1">
        <f t="shared" si="106"/>
        <v>0</v>
      </c>
      <c r="E689" s="1">
        <f t="shared" si="107"/>
        <v>1270.54134</v>
      </c>
      <c r="F689" s="22"/>
      <c r="G689" s="22"/>
      <c r="H689" s="22"/>
      <c r="I689" s="22"/>
      <c r="J689" s="22"/>
      <c r="K689" s="22"/>
      <c r="L689" s="22"/>
      <c r="M689" s="22">
        <v>1270.54134</v>
      </c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22"/>
      <c r="AA689" s="22"/>
      <c r="AB689" s="23"/>
      <c r="AC689" s="4"/>
      <c r="AD689" s="22"/>
      <c r="AE689" s="22"/>
      <c r="AF689" s="22"/>
      <c r="AG689" s="22"/>
      <c r="AH689" s="20"/>
      <c r="AI689" s="4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4"/>
      <c r="BA689" s="4"/>
      <c r="BB689" s="4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4"/>
      <c r="BP689" s="4"/>
      <c r="BQ689" s="4"/>
      <c r="BR689" s="4"/>
      <c r="BS689" s="4"/>
      <c r="BT689" s="22"/>
      <c r="BU689" s="24"/>
    </row>
    <row r="690" spans="1:73" ht="73.5" customHeight="1" outlineLevel="2">
      <c r="A690" s="44" t="s">
        <v>328</v>
      </c>
      <c r="B690" s="26" t="s">
        <v>968</v>
      </c>
      <c r="C690" s="39">
        <f t="shared" si="108"/>
        <v>40.95679</v>
      </c>
      <c r="D690" s="1">
        <f t="shared" si="106"/>
        <v>20.47566</v>
      </c>
      <c r="E690" s="1">
        <f t="shared" si="107"/>
        <v>20.48113</v>
      </c>
      <c r="F690" s="22"/>
      <c r="G690" s="22"/>
      <c r="H690" s="22"/>
      <c r="I690" s="22"/>
      <c r="J690" s="22"/>
      <c r="K690" s="22"/>
      <c r="L690" s="22"/>
      <c r="M690" s="22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22"/>
      <c r="AA690" s="22"/>
      <c r="AB690" s="23">
        <v>11.69068</v>
      </c>
      <c r="AC690" s="4">
        <v>6.99274</v>
      </c>
      <c r="AD690" s="22"/>
      <c r="AE690" s="22"/>
      <c r="AF690" s="22"/>
      <c r="AG690" s="22"/>
      <c r="AH690" s="20"/>
      <c r="AI690" s="4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>
        <v>3.07438</v>
      </c>
      <c r="AZ690" s="4">
        <v>9.89976</v>
      </c>
      <c r="BA690" s="4"/>
      <c r="BB690" s="4"/>
      <c r="BC690" s="22"/>
      <c r="BD690" s="22"/>
      <c r="BE690" s="22"/>
      <c r="BF690" s="22">
        <v>5.7106</v>
      </c>
      <c r="BG690" s="22">
        <v>3.58863</v>
      </c>
      <c r="BH690" s="22"/>
      <c r="BI690" s="22"/>
      <c r="BJ690" s="22"/>
      <c r="BK690" s="22"/>
      <c r="BL690" s="22"/>
      <c r="BM690" s="22"/>
      <c r="BN690" s="22"/>
      <c r="BO690" s="4"/>
      <c r="BP690" s="4"/>
      <c r="BQ690" s="4"/>
      <c r="BR690" s="4"/>
      <c r="BS690" s="4"/>
      <c r="BT690" s="22"/>
      <c r="BU690" s="24"/>
    </row>
    <row r="691" spans="1:73" ht="73.5" customHeight="1" outlineLevel="2">
      <c r="A691" s="44" t="s">
        <v>328</v>
      </c>
      <c r="B691" s="26" t="s">
        <v>969</v>
      </c>
      <c r="C691" s="39">
        <f t="shared" si="108"/>
        <v>32.230599999999995</v>
      </c>
      <c r="D691" s="1">
        <f t="shared" si="106"/>
        <v>16.06287</v>
      </c>
      <c r="E691" s="1">
        <f t="shared" si="107"/>
        <v>16.16773</v>
      </c>
      <c r="F691" s="22"/>
      <c r="G691" s="22"/>
      <c r="H691" s="22"/>
      <c r="I691" s="22"/>
      <c r="J691" s="22"/>
      <c r="K691" s="22"/>
      <c r="L691" s="22"/>
      <c r="M691" s="22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22"/>
      <c r="AA691" s="22"/>
      <c r="AB691" s="23"/>
      <c r="AC691" s="4"/>
      <c r="AD691" s="22"/>
      <c r="AE691" s="22"/>
      <c r="AF691" s="22"/>
      <c r="AG691" s="22"/>
      <c r="AH691" s="20"/>
      <c r="AI691" s="4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>
        <v>2.9856</v>
      </c>
      <c r="AZ691" s="4">
        <v>7.94976</v>
      </c>
      <c r="BA691" s="4"/>
      <c r="BB691" s="4"/>
      <c r="BC691" s="22"/>
      <c r="BD691" s="22"/>
      <c r="BE691" s="22"/>
      <c r="BF691" s="22">
        <v>13.07727</v>
      </c>
      <c r="BG691" s="22">
        <v>8.21797</v>
      </c>
      <c r="BH691" s="22"/>
      <c r="BI691" s="22"/>
      <c r="BJ691" s="22"/>
      <c r="BK691" s="22"/>
      <c r="BL691" s="22"/>
      <c r="BM691" s="22"/>
      <c r="BN691" s="22"/>
      <c r="BO691" s="4"/>
      <c r="BP691" s="4"/>
      <c r="BQ691" s="4"/>
      <c r="BR691" s="4"/>
      <c r="BS691" s="4"/>
      <c r="BT691" s="22"/>
      <c r="BU691" s="24"/>
    </row>
    <row r="692" spans="1:73" ht="73.5" customHeight="1" outlineLevel="2">
      <c r="A692" s="44" t="s">
        <v>328</v>
      </c>
      <c r="B692" s="26" t="s">
        <v>970</v>
      </c>
      <c r="C692" s="39">
        <f t="shared" si="108"/>
        <v>33.01641</v>
      </c>
      <c r="D692" s="1">
        <f t="shared" si="106"/>
        <v>15.56988</v>
      </c>
      <c r="E692" s="1">
        <f t="shared" si="107"/>
        <v>17.44653</v>
      </c>
      <c r="F692" s="22"/>
      <c r="G692" s="22"/>
      <c r="H692" s="22"/>
      <c r="I692" s="22"/>
      <c r="J692" s="22"/>
      <c r="K692" s="22"/>
      <c r="L692" s="22"/>
      <c r="M692" s="22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22"/>
      <c r="AA692" s="22"/>
      <c r="AB692" s="23"/>
      <c r="AC692" s="4"/>
      <c r="AD692" s="22"/>
      <c r="AE692" s="22"/>
      <c r="AF692" s="22"/>
      <c r="AG692" s="22"/>
      <c r="AH692" s="20"/>
      <c r="AI692" s="4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>
        <v>2.98753</v>
      </c>
      <c r="AZ692" s="4">
        <v>9.53957</v>
      </c>
      <c r="BA692" s="4"/>
      <c r="BB692" s="4"/>
      <c r="BC692" s="22"/>
      <c r="BD692" s="22"/>
      <c r="BE692" s="22"/>
      <c r="BF692" s="22">
        <v>12.58235</v>
      </c>
      <c r="BG692" s="22">
        <v>7.90696</v>
      </c>
      <c r="BH692" s="22"/>
      <c r="BI692" s="22"/>
      <c r="BJ692" s="22"/>
      <c r="BK692" s="22"/>
      <c r="BL692" s="22"/>
      <c r="BM692" s="22"/>
      <c r="BN692" s="22"/>
      <c r="BO692" s="4"/>
      <c r="BP692" s="4"/>
      <c r="BQ692" s="4"/>
      <c r="BR692" s="4"/>
      <c r="BS692" s="4"/>
      <c r="BT692" s="22"/>
      <c r="BU692" s="24"/>
    </row>
    <row r="693" spans="1:73" ht="73.5" customHeight="1" outlineLevel="2">
      <c r="A693" s="44" t="s">
        <v>328</v>
      </c>
      <c r="B693" s="26" t="s">
        <v>971</v>
      </c>
      <c r="C693" s="39">
        <f t="shared" si="108"/>
        <v>7.4393899999999995</v>
      </c>
      <c r="D693" s="1">
        <f t="shared" si="106"/>
        <v>4.56848</v>
      </c>
      <c r="E693" s="1">
        <f t="shared" si="107"/>
        <v>2.87091</v>
      </c>
      <c r="F693" s="22"/>
      <c r="G693" s="22"/>
      <c r="H693" s="22"/>
      <c r="I693" s="22"/>
      <c r="J693" s="22"/>
      <c r="K693" s="22"/>
      <c r="L693" s="22"/>
      <c r="M693" s="22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22"/>
      <c r="AA693" s="22"/>
      <c r="AB693" s="23"/>
      <c r="AC693" s="4"/>
      <c r="AD693" s="22"/>
      <c r="AE693" s="22"/>
      <c r="AF693" s="22"/>
      <c r="AG693" s="22"/>
      <c r="AH693" s="20"/>
      <c r="AI693" s="4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4"/>
      <c r="BA693" s="4"/>
      <c r="BB693" s="4"/>
      <c r="BC693" s="22"/>
      <c r="BD693" s="22"/>
      <c r="BE693" s="22"/>
      <c r="BF693" s="22">
        <v>4.56848</v>
      </c>
      <c r="BG693" s="22">
        <v>2.87091</v>
      </c>
      <c r="BH693" s="22"/>
      <c r="BI693" s="22"/>
      <c r="BJ693" s="22"/>
      <c r="BK693" s="22"/>
      <c r="BL693" s="22"/>
      <c r="BM693" s="22"/>
      <c r="BN693" s="22"/>
      <c r="BO693" s="4"/>
      <c r="BP693" s="4"/>
      <c r="BQ693" s="4"/>
      <c r="BR693" s="4"/>
      <c r="BS693" s="4"/>
      <c r="BT693" s="22"/>
      <c r="BU693" s="24"/>
    </row>
    <row r="694" spans="1:73" ht="73.5" customHeight="1" outlineLevel="2">
      <c r="A694" s="44" t="s">
        <v>328</v>
      </c>
      <c r="B694" s="26" t="s">
        <v>972</v>
      </c>
      <c r="C694" s="39">
        <f t="shared" si="108"/>
        <v>55.7954</v>
      </c>
      <c r="D694" s="1">
        <f t="shared" si="106"/>
        <v>34.26359</v>
      </c>
      <c r="E694" s="1">
        <f t="shared" si="107"/>
        <v>21.53181</v>
      </c>
      <c r="F694" s="22"/>
      <c r="G694" s="22"/>
      <c r="H694" s="22"/>
      <c r="I694" s="22"/>
      <c r="J694" s="22"/>
      <c r="K694" s="22"/>
      <c r="L694" s="22"/>
      <c r="M694" s="22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22"/>
      <c r="AA694" s="22"/>
      <c r="AB694" s="23"/>
      <c r="AC694" s="4"/>
      <c r="AD694" s="22"/>
      <c r="AE694" s="22"/>
      <c r="AF694" s="22"/>
      <c r="AG694" s="22"/>
      <c r="AH694" s="20"/>
      <c r="AI694" s="4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4"/>
      <c r="BA694" s="4"/>
      <c r="BB694" s="4"/>
      <c r="BC694" s="22"/>
      <c r="BD694" s="22"/>
      <c r="BE694" s="22"/>
      <c r="BF694" s="22">
        <v>34.26359</v>
      </c>
      <c r="BG694" s="22">
        <v>21.53181</v>
      </c>
      <c r="BH694" s="22"/>
      <c r="BI694" s="22"/>
      <c r="BJ694" s="22"/>
      <c r="BK694" s="22"/>
      <c r="BL694" s="22"/>
      <c r="BM694" s="22"/>
      <c r="BN694" s="22"/>
      <c r="BO694" s="4"/>
      <c r="BP694" s="4"/>
      <c r="BQ694" s="4"/>
      <c r="BR694" s="4"/>
      <c r="BS694" s="4"/>
      <c r="BT694" s="22"/>
      <c r="BU694" s="24"/>
    </row>
    <row r="695" spans="1:73" ht="73.5" customHeight="1" outlineLevel="2">
      <c r="A695" s="44" t="s">
        <v>328</v>
      </c>
      <c r="B695" s="26" t="s">
        <v>973</v>
      </c>
      <c r="C695" s="39">
        <f>D695+E695</f>
        <v>694.95729</v>
      </c>
      <c r="D695" s="1">
        <f t="shared" si="106"/>
        <v>544.61339</v>
      </c>
      <c r="E695" s="1">
        <f t="shared" si="107"/>
        <v>150.3439</v>
      </c>
      <c r="F695" s="22"/>
      <c r="G695" s="22"/>
      <c r="H695" s="22"/>
      <c r="I695" s="22"/>
      <c r="J695" s="22"/>
      <c r="K695" s="22"/>
      <c r="L695" s="22"/>
      <c r="M695" s="22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22"/>
      <c r="AA695" s="22"/>
      <c r="AB695" s="23">
        <v>544.61339</v>
      </c>
      <c r="AC695" s="4">
        <v>150.3439</v>
      </c>
      <c r="AD695" s="22"/>
      <c r="AE695" s="22"/>
      <c r="AF695" s="22"/>
      <c r="AG695" s="22"/>
      <c r="AH695" s="20"/>
      <c r="AI695" s="4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4"/>
      <c r="BA695" s="4"/>
      <c r="BB695" s="4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4"/>
      <c r="BP695" s="4"/>
      <c r="BQ695" s="4"/>
      <c r="BR695" s="4"/>
      <c r="BS695" s="4"/>
      <c r="BT695" s="22"/>
      <c r="BU695" s="24"/>
    </row>
    <row r="696" spans="1:73" ht="73.5" customHeight="1" outlineLevel="2">
      <c r="A696" s="44" t="s">
        <v>328</v>
      </c>
      <c r="B696" s="26" t="s">
        <v>974</v>
      </c>
      <c r="C696" s="39">
        <f t="shared" si="108"/>
        <v>695.70673</v>
      </c>
      <c r="D696" s="1">
        <f t="shared" si="106"/>
        <v>371.88676</v>
      </c>
      <c r="E696" s="1">
        <f t="shared" si="107"/>
        <v>323.81997</v>
      </c>
      <c r="F696" s="22"/>
      <c r="G696" s="22"/>
      <c r="H696" s="22"/>
      <c r="I696" s="22"/>
      <c r="J696" s="22"/>
      <c r="K696" s="22"/>
      <c r="L696" s="22"/>
      <c r="M696" s="22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22"/>
      <c r="AA696" s="22"/>
      <c r="AB696" s="23">
        <v>149.65532</v>
      </c>
      <c r="AC696" s="4">
        <v>62.00229</v>
      </c>
      <c r="AD696" s="22"/>
      <c r="AE696" s="22"/>
      <c r="AF696" s="22"/>
      <c r="AG696" s="22"/>
      <c r="AH696" s="20">
        <f>55.40355+67.4544</f>
        <v>122.85795000000002</v>
      </c>
      <c r="AI696" s="4">
        <v>67.4544</v>
      </c>
      <c r="AJ696" s="22">
        <v>55.40355</v>
      </c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4"/>
      <c r="BA696" s="4"/>
      <c r="BB696" s="4"/>
      <c r="BC696" s="22"/>
      <c r="BD696" s="22"/>
      <c r="BE696" s="22"/>
      <c r="BF696" s="22">
        <v>222.23144</v>
      </c>
      <c r="BG696" s="22">
        <v>138.95973</v>
      </c>
      <c r="BH696" s="22"/>
      <c r="BI696" s="22"/>
      <c r="BJ696" s="22"/>
      <c r="BK696" s="22"/>
      <c r="BL696" s="22"/>
      <c r="BM696" s="22"/>
      <c r="BN696" s="22"/>
      <c r="BO696" s="4"/>
      <c r="BP696" s="4"/>
      <c r="BQ696" s="4"/>
      <c r="BR696" s="4"/>
      <c r="BS696" s="4"/>
      <c r="BT696" s="22"/>
      <c r="BU696" s="24"/>
    </row>
    <row r="697" spans="1:73" ht="73.5" customHeight="1" outlineLevel="2">
      <c r="A697" s="46" t="s">
        <v>328</v>
      </c>
      <c r="B697" s="26" t="s">
        <v>173</v>
      </c>
      <c r="C697" s="39">
        <f t="shared" si="108"/>
        <v>270.47724</v>
      </c>
      <c r="D697" s="1">
        <f t="shared" si="106"/>
        <v>173.18555</v>
      </c>
      <c r="E697" s="1">
        <f t="shared" si="107"/>
        <v>97.29169</v>
      </c>
      <c r="F697" s="22"/>
      <c r="G697" s="22"/>
      <c r="H697" s="22"/>
      <c r="I697" s="22"/>
      <c r="J697" s="22"/>
      <c r="K697" s="22"/>
      <c r="L697" s="22"/>
      <c r="M697" s="22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22"/>
      <c r="AA697" s="22"/>
      <c r="AB697" s="23">
        <v>52.65677</v>
      </c>
      <c r="AC697" s="4">
        <v>21.91058</v>
      </c>
      <c r="AD697" s="22"/>
      <c r="AE697" s="22"/>
      <c r="AF697" s="22"/>
      <c r="AG697" s="22"/>
      <c r="AH697" s="20"/>
      <c r="AI697" s="4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4"/>
      <c r="BA697" s="4"/>
      <c r="BB697" s="4"/>
      <c r="BC697" s="22"/>
      <c r="BD697" s="22"/>
      <c r="BE697" s="22"/>
      <c r="BF697" s="22">
        <v>120.52878</v>
      </c>
      <c r="BG697" s="22">
        <v>75.38111</v>
      </c>
      <c r="BH697" s="22"/>
      <c r="BI697" s="22"/>
      <c r="BJ697" s="22"/>
      <c r="BK697" s="22"/>
      <c r="BL697" s="22"/>
      <c r="BM697" s="22"/>
      <c r="BN697" s="22"/>
      <c r="BO697" s="4"/>
      <c r="BP697" s="4"/>
      <c r="BQ697" s="4"/>
      <c r="BR697" s="4"/>
      <c r="BS697" s="4"/>
      <c r="BT697" s="22"/>
      <c r="BU697" s="24"/>
    </row>
    <row r="698" spans="1:73" ht="73.5" customHeight="1" outlineLevel="2">
      <c r="A698" s="44" t="s">
        <v>328</v>
      </c>
      <c r="B698" s="26" t="s">
        <v>403</v>
      </c>
      <c r="C698" s="39">
        <f t="shared" si="108"/>
        <v>3289.0089000000003</v>
      </c>
      <c r="D698" s="1">
        <f t="shared" si="106"/>
        <v>864.3441300000001</v>
      </c>
      <c r="E698" s="1">
        <f t="shared" si="107"/>
        <v>2424.6647700000003</v>
      </c>
      <c r="F698" s="22"/>
      <c r="G698" s="22"/>
      <c r="H698" s="22"/>
      <c r="I698" s="22"/>
      <c r="J698" s="22"/>
      <c r="K698" s="22"/>
      <c r="L698" s="22"/>
      <c r="M698" s="22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22">
        <v>60.81526</v>
      </c>
      <c r="AA698" s="22">
        <v>83.5515</v>
      </c>
      <c r="AB698" s="23">
        <v>231.86516</v>
      </c>
      <c r="AC698" s="4">
        <v>63.40084</v>
      </c>
      <c r="AD698" s="22"/>
      <c r="AE698" s="22"/>
      <c r="AF698" s="22"/>
      <c r="AG698" s="22"/>
      <c r="AH698" s="20">
        <f>127.66905+132.3041</f>
        <v>259.97315000000003</v>
      </c>
      <c r="AI698" s="4">
        <v>132.3041</v>
      </c>
      <c r="AJ698" s="22">
        <v>127.66905</v>
      </c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>
        <v>57.96</v>
      </c>
      <c r="AX698" s="22">
        <v>640.64</v>
      </c>
      <c r="AY698" s="22"/>
      <c r="AZ698" s="4"/>
      <c r="BA698" s="4"/>
      <c r="BB698" s="4"/>
      <c r="BC698" s="22"/>
      <c r="BD698" s="22"/>
      <c r="BE698" s="22">
        <v>961.30025</v>
      </c>
      <c r="BF698" s="22">
        <v>571.66371</v>
      </c>
      <c r="BG698" s="22">
        <v>357.83903</v>
      </c>
      <c r="BH698" s="22"/>
      <c r="BI698" s="22"/>
      <c r="BJ698" s="22"/>
      <c r="BK698" s="22"/>
      <c r="BL698" s="22"/>
      <c r="BM698" s="22"/>
      <c r="BN698" s="22"/>
      <c r="BO698" s="4"/>
      <c r="BP698" s="4"/>
      <c r="BQ698" s="4"/>
      <c r="BR698" s="4"/>
      <c r="BS698" s="4"/>
      <c r="BT698" s="22"/>
      <c r="BU698" s="24"/>
    </row>
    <row r="699" spans="1:73" ht="73.5" customHeight="1" outlineLevel="2">
      <c r="A699" s="44" t="s">
        <v>328</v>
      </c>
      <c r="B699" s="26" t="s">
        <v>292</v>
      </c>
      <c r="C699" s="39">
        <f t="shared" si="108"/>
        <v>2428.28716</v>
      </c>
      <c r="D699" s="1">
        <f t="shared" si="106"/>
        <v>383.81637</v>
      </c>
      <c r="E699" s="1">
        <f t="shared" si="107"/>
        <v>2044.4707899999999</v>
      </c>
      <c r="F699" s="22"/>
      <c r="G699" s="22"/>
      <c r="H699" s="22"/>
      <c r="I699" s="22"/>
      <c r="J699" s="22"/>
      <c r="K699" s="22"/>
      <c r="L699" s="22"/>
      <c r="M699" s="22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22"/>
      <c r="AA699" s="22"/>
      <c r="AB699" s="4"/>
      <c r="AC699" s="4"/>
      <c r="AD699" s="22"/>
      <c r="AE699" s="22"/>
      <c r="AF699" s="22"/>
      <c r="AG699" s="22"/>
      <c r="AH699" s="20"/>
      <c r="AI699" s="4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4"/>
      <c r="BA699" s="4"/>
      <c r="BB699" s="4"/>
      <c r="BC699" s="22"/>
      <c r="BD699" s="22">
        <f>1077.69419+727.5</f>
        <v>1805.19419</v>
      </c>
      <c r="BE699" s="22"/>
      <c r="BF699" s="22">
        <v>383.81637</v>
      </c>
      <c r="BG699" s="22">
        <v>239.2766</v>
      </c>
      <c r="BH699" s="22"/>
      <c r="BI699" s="22"/>
      <c r="BJ699" s="22"/>
      <c r="BK699" s="22"/>
      <c r="BL699" s="22"/>
      <c r="BM699" s="22"/>
      <c r="BN699" s="22"/>
      <c r="BO699" s="4"/>
      <c r="BP699" s="4"/>
      <c r="BQ699" s="4"/>
      <c r="BR699" s="4"/>
      <c r="BS699" s="4"/>
      <c r="BT699" s="22"/>
      <c r="BU699" s="24"/>
    </row>
    <row r="700" spans="1:73" ht="73.5" customHeight="1" outlineLevel="2">
      <c r="A700" s="44" t="s">
        <v>328</v>
      </c>
      <c r="B700" s="26" t="s">
        <v>860</v>
      </c>
      <c r="C700" s="39">
        <f t="shared" si="108"/>
        <v>283.17388</v>
      </c>
      <c r="D700" s="1">
        <f t="shared" si="106"/>
        <v>0</v>
      </c>
      <c r="E700" s="1">
        <f t="shared" si="107"/>
        <v>283.17388</v>
      </c>
      <c r="F700" s="22"/>
      <c r="G700" s="22"/>
      <c r="H700" s="22"/>
      <c r="I700" s="22"/>
      <c r="J700" s="22"/>
      <c r="K700" s="22"/>
      <c r="L700" s="22"/>
      <c r="M700" s="22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22"/>
      <c r="AA700" s="22"/>
      <c r="AB700" s="4"/>
      <c r="AC700" s="4"/>
      <c r="AD700" s="22"/>
      <c r="AE700" s="22"/>
      <c r="AF700" s="22"/>
      <c r="AG700" s="22"/>
      <c r="AH700" s="20"/>
      <c r="AI700" s="4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4"/>
      <c r="BA700" s="4"/>
      <c r="BB700" s="4"/>
      <c r="BC700" s="22"/>
      <c r="BD700" s="22"/>
      <c r="BE700" s="22">
        <v>283.17388</v>
      </c>
      <c r="BF700" s="22"/>
      <c r="BG700" s="22"/>
      <c r="BH700" s="22"/>
      <c r="BI700" s="22"/>
      <c r="BJ700" s="22"/>
      <c r="BK700" s="22"/>
      <c r="BL700" s="22"/>
      <c r="BM700" s="22"/>
      <c r="BN700" s="22"/>
      <c r="BO700" s="4"/>
      <c r="BP700" s="4"/>
      <c r="BQ700" s="4"/>
      <c r="BR700" s="4"/>
      <c r="BS700" s="4"/>
      <c r="BT700" s="22"/>
      <c r="BU700" s="24"/>
    </row>
    <row r="701" spans="1:73" ht="73.5" customHeight="1" outlineLevel="2">
      <c r="A701" s="44" t="s">
        <v>328</v>
      </c>
      <c r="B701" s="26" t="s">
        <v>743</v>
      </c>
      <c r="C701" s="39">
        <f t="shared" si="108"/>
        <v>2399.6241</v>
      </c>
      <c r="D701" s="1">
        <f aca="true" t="shared" si="109" ref="D701:D714">F701+J701+N701+R701+T701+Z701+AB701+AD701+AF701+AM701+AO701+AT701+AY701+BF701+BO701+BS701+H701+V701+X701+BQ701+AR701+BH701</f>
        <v>0</v>
      </c>
      <c r="E701" s="1">
        <f aca="true" t="shared" si="110" ref="E701:E714">G701+I701+K701+L701+M701+O701+P701+Q701+S701+U701+W701+Y701+AA701+AC701+AE701+AG701+AH701+AK701+AL701+AN701+AP701+AQ701+AS701+AU701+AV701+AW701+AX701+AZ701+BA701+BB701+BC701+BD701+BE701+BG701+BI701+BJ701+BK701+BL701+BM701+BN701+BU701+BP701+BR701+BT701</f>
        <v>2399.6241</v>
      </c>
      <c r="F701" s="22"/>
      <c r="G701" s="22"/>
      <c r="H701" s="22"/>
      <c r="I701" s="22"/>
      <c r="J701" s="22"/>
      <c r="K701" s="22"/>
      <c r="L701" s="22"/>
      <c r="M701" s="22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22"/>
      <c r="AA701" s="22"/>
      <c r="AB701" s="4"/>
      <c r="AC701" s="4"/>
      <c r="AD701" s="22"/>
      <c r="AE701" s="22"/>
      <c r="AF701" s="22"/>
      <c r="AG701" s="22"/>
      <c r="AH701" s="20"/>
      <c r="AI701" s="4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4"/>
      <c r="BA701" s="4"/>
      <c r="BB701" s="4"/>
      <c r="BC701" s="22"/>
      <c r="BD701" s="22"/>
      <c r="BE701" s="22">
        <v>2399.6241</v>
      </c>
      <c r="BF701" s="22"/>
      <c r="BG701" s="22"/>
      <c r="BH701" s="22"/>
      <c r="BI701" s="22"/>
      <c r="BJ701" s="22"/>
      <c r="BK701" s="22"/>
      <c r="BL701" s="22"/>
      <c r="BM701" s="22"/>
      <c r="BN701" s="22"/>
      <c r="BO701" s="4"/>
      <c r="BP701" s="4"/>
      <c r="BQ701" s="4"/>
      <c r="BR701" s="4"/>
      <c r="BS701" s="4"/>
      <c r="BT701" s="22"/>
      <c r="BU701" s="24"/>
    </row>
    <row r="702" spans="1:73" ht="73.5" customHeight="1" outlineLevel="2">
      <c r="A702" s="44" t="s">
        <v>328</v>
      </c>
      <c r="B702" s="26" t="s">
        <v>975</v>
      </c>
      <c r="C702" s="39">
        <f t="shared" si="108"/>
        <v>13198.05083</v>
      </c>
      <c r="D702" s="1">
        <f t="shared" si="109"/>
        <v>1080.90766</v>
      </c>
      <c r="E702" s="1">
        <f t="shared" si="110"/>
        <v>12117.14317</v>
      </c>
      <c r="F702" s="22"/>
      <c r="G702" s="22"/>
      <c r="H702" s="22"/>
      <c r="I702" s="22"/>
      <c r="J702" s="22"/>
      <c r="K702" s="22"/>
      <c r="L702" s="22"/>
      <c r="M702" s="22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22">
        <v>646.57151</v>
      </c>
      <c r="AA702" s="22">
        <v>402.138</v>
      </c>
      <c r="AB702" s="23">
        <v>143.33262</v>
      </c>
      <c r="AC702" s="4">
        <v>58.27283</v>
      </c>
      <c r="AD702" s="22"/>
      <c r="AE702" s="22"/>
      <c r="AF702" s="22"/>
      <c r="AG702" s="22"/>
      <c r="AH702" s="20">
        <f>57.8124+7.22655+106.4152+78.6968</f>
        <v>250.15095</v>
      </c>
      <c r="AI702" s="4">
        <f>106.4152+78.6968</f>
        <v>185.112</v>
      </c>
      <c r="AJ702" s="22">
        <v>65.03895</v>
      </c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4"/>
      <c r="BA702" s="4"/>
      <c r="BB702" s="4"/>
      <c r="BC702" s="22"/>
      <c r="BD702" s="22"/>
      <c r="BE702" s="22"/>
      <c r="BF702" s="22">
        <v>291.00353</v>
      </c>
      <c r="BG702" s="22">
        <v>182.25039</v>
      </c>
      <c r="BH702" s="22"/>
      <c r="BI702" s="22"/>
      <c r="BJ702" s="22"/>
      <c r="BK702" s="22"/>
      <c r="BL702" s="22"/>
      <c r="BM702" s="22"/>
      <c r="BN702" s="22"/>
      <c r="BO702" s="4"/>
      <c r="BP702" s="4"/>
      <c r="BQ702" s="4"/>
      <c r="BR702" s="4"/>
      <c r="BS702" s="4"/>
      <c r="BT702" s="22">
        <v>11224.331</v>
      </c>
      <c r="BU702" s="24"/>
    </row>
    <row r="703" spans="1:73" ht="73.5" customHeight="1" outlineLevel="2">
      <c r="A703" s="46" t="s">
        <v>328</v>
      </c>
      <c r="B703" s="45" t="s">
        <v>204</v>
      </c>
      <c r="C703" s="39">
        <f t="shared" si="108"/>
        <v>83.18982</v>
      </c>
      <c r="D703" s="1">
        <f t="shared" si="109"/>
        <v>0</v>
      </c>
      <c r="E703" s="1">
        <f t="shared" si="110"/>
        <v>83.18982</v>
      </c>
      <c r="F703" s="22"/>
      <c r="G703" s="22"/>
      <c r="H703" s="22"/>
      <c r="I703" s="22"/>
      <c r="J703" s="22"/>
      <c r="K703" s="22"/>
      <c r="L703" s="22"/>
      <c r="M703" s="22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22"/>
      <c r="AA703" s="22"/>
      <c r="AB703" s="4"/>
      <c r="AC703" s="4"/>
      <c r="AD703" s="22"/>
      <c r="AE703" s="22"/>
      <c r="AF703" s="22"/>
      <c r="AG703" s="22"/>
      <c r="AH703" s="20"/>
      <c r="AI703" s="4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4"/>
      <c r="BA703" s="4"/>
      <c r="BB703" s="4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>
        <v>83.18982</v>
      </c>
      <c r="BN703" s="22"/>
      <c r="BO703" s="4"/>
      <c r="BP703" s="4"/>
      <c r="BQ703" s="4"/>
      <c r="BR703" s="4"/>
      <c r="BS703" s="4"/>
      <c r="BT703" s="22"/>
      <c r="BU703" s="24"/>
    </row>
    <row r="704" spans="1:73" ht="73.5" customHeight="1" outlineLevel="2">
      <c r="A704" s="46" t="s">
        <v>328</v>
      </c>
      <c r="B704" s="45" t="s">
        <v>505</v>
      </c>
      <c r="C704" s="39">
        <f t="shared" si="108"/>
        <v>1611.6663199999998</v>
      </c>
      <c r="D704" s="1">
        <f t="shared" si="109"/>
        <v>0</v>
      </c>
      <c r="E704" s="1">
        <f t="shared" si="110"/>
        <v>1611.6663199999998</v>
      </c>
      <c r="F704" s="22"/>
      <c r="G704" s="22"/>
      <c r="H704" s="22"/>
      <c r="I704" s="22"/>
      <c r="J704" s="22"/>
      <c r="K704" s="22"/>
      <c r="L704" s="22"/>
      <c r="M704" s="22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22"/>
      <c r="AA704" s="22"/>
      <c r="AB704" s="4"/>
      <c r="AC704" s="4"/>
      <c r="AD704" s="22"/>
      <c r="AE704" s="22"/>
      <c r="AF704" s="22"/>
      <c r="AG704" s="22"/>
      <c r="AH704" s="20"/>
      <c r="AI704" s="4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4"/>
      <c r="BA704" s="4"/>
      <c r="BB704" s="4"/>
      <c r="BC704" s="22"/>
      <c r="BD704" s="22"/>
      <c r="BE704" s="22">
        <v>463.85</v>
      </c>
      <c r="BF704" s="22"/>
      <c r="BG704" s="22"/>
      <c r="BH704" s="22"/>
      <c r="BI704" s="22"/>
      <c r="BJ704" s="22"/>
      <c r="BK704" s="22"/>
      <c r="BL704" s="22"/>
      <c r="BM704" s="22">
        <v>1147.81632</v>
      </c>
      <c r="BN704" s="22"/>
      <c r="BO704" s="4"/>
      <c r="BP704" s="4"/>
      <c r="BQ704" s="4"/>
      <c r="BR704" s="4"/>
      <c r="BS704" s="4"/>
      <c r="BT704" s="22"/>
      <c r="BU704" s="24"/>
    </row>
    <row r="705" spans="1:73" ht="73.5" customHeight="1" outlineLevel="2">
      <c r="A705" s="44" t="s">
        <v>328</v>
      </c>
      <c r="B705" s="45" t="s">
        <v>557</v>
      </c>
      <c r="C705" s="39">
        <f aca="true" t="shared" si="111" ref="C705:C714">D705+E705</f>
        <v>5214.00111</v>
      </c>
      <c r="D705" s="1">
        <f t="shared" si="109"/>
        <v>0</v>
      </c>
      <c r="E705" s="1">
        <f t="shared" si="110"/>
        <v>5214.00111</v>
      </c>
      <c r="F705" s="22"/>
      <c r="G705" s="22"/>
      <c r="H705" s="22"/>
      <c r="I705" s="22"/>
      <c r="J705" s="22"/>
      <c r="K705" s="22"/>
      <c r="L705" s="22"/>
      <c r="M705" s="22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22"/>
      <c r="AA705" s="22"/>
      <c r="AB705" s="4"/>
      <c r="AC705" s="4"/>
      <c r="AD705" s="22"/>
      <c r="AE705" s="22"/>
      <c r="AF705" s="22"/>
      <c r="AG705" s="22"/>
      <c r="AH705" s="20"/>
      <c r="AI705" s="4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4"/>
      <c r="BA705" s="4"/>
      <c r="BB705" s="4"/>
      <c r="BC705" s="22"/>
      <c r="BD705" s="22">
        <v>88.88311</v>
      </c>
      <c r="BE705" s="22"/>
      <c r="BF705" s="22"/>
      <c r="BG705" s="22"/>
      <c r="BH705" s="22"/>
      <c r="BI705" s="22"/>
      <c r="BJ705" s="22"/>
      <c r="BK705" s="22"/>
      <c r="BL705" s="22"/>
      <c r="BM705" s="22">
        <v>5125.118</v>
      </c>
      <c r="BN705" s="22"/>
      <c r="BO705" s="4"/>
      <c r="BP705" s="4"/>
      <c r="BQ705" s="4"/>
      <c r="BR705" s="4"/>
      <c r="BS705" s="4"/>
      <c r="BT705" s="22"/>
      <c r="BU705" s="24"/>
    </row>
    <row r="706" spans="1:73" ht="73.5" customHeight="1" outlineLevel="2">
      <c r="A706" s="44" t="s">
        <v>328</v>
      </c>
      <c r="B706" s="45" t="s">
        <v>412</v>
      </c>
      <c r="C706" s="39">
        <f t="shared" si="111"/>
        <v>701.939</v>
      </c>
      <c r="D706" s="1">
        <f t="shared" si="109"/>
        <v>0</v>
      </c>
      <c r="E706" s="1">
        <f t="shared" si="110"/>
        <v>701.939</v>
      </c>
      <c r="F706" s="22"/>
      <c r="G706" s="22"/>
      <c r="H706" s="22"/>
      <c r="I706" s="22"/>
      <c r="J706" s="22"/>
      <c r="K706" s="22"/>
      <c r="L706" s="22"/>
      <c r="M706" s="22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22"/>
      <c r="AA706" s="22"/>
      <c r="AB706" s="4"/>
      <c r="AC706" s="4"/>
      <c r="AD706" s="22"/>
      <c r="AE706" s="22"/>
      <c r="AF706" s="22"/>
      <c r="AG706" s="22"/>
      <c r="AH706" s="20"/>
      <c r="AI706" s="4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4"/>
      <c r="BA706" s="4"/>
      <c r="BB706" s="4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>
        <v>701.939</v>
      </c>
      <c r="BN706" s="22"/>
      <c r="BO706" s="4"/>
      <c r="BP706" s="4"/>
      <c r="BQ706" s="4"/>
      <c r="BR706" s="4"/>
      <c r="BS706" s="4"/>
      <c r="BT706" s="22"/>
      <c r="BU706" s="24"/>
    </row>
    <row r="707" spans="1:73" ht="73.5" customHeight="1" outlineLevel="2">
      <c r="A707" s="44" t="s">
        <v>328</v>
      </c>
      <c r="B707" s="45" t="s">
        <v>780</v>
      </c>
      <c r="C707" s="39">
        <f t="shared" si="111"/>
        <v>975.90601</v>
      </c>
      <c r="D707" s="1">
        <f t="shared" si="109"/>
        <v>0</v>
      </c>
      <c r="E707" s="1">
        <f t="shared" si="110"/>
        <v>975.90601</v>
      </c>
      <c r="F707" s="22"/>
      <c r="G707" s="22"/>
      <c r="H707" s="22"/>
      <c r="I707" s="22"/>
      <c r="J707" s="22"/>
      <c r="K707" s="22"/>
      <c r="L707" s="22"/>
      <c r="M707" s="22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22"/>
      <c r="AA707" s="22"/>
      <c r="AB707" s="4"/>
      <c r="AC707" s="4"/>
      <c r="AD707" s="22"/>
      <c r="AE707" s="22"/>
      <c r="AF707" s="22"/>
      <c r="AG707" s="22"/>
      <c r="AH707" s="20"/>
      <c r="AI707" s="4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4"/>
      <c r="BA707" s="4"/>
      <c r="BB707" s="4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>
        <v>975.90601</v>
      </c>
      <c r="BN707" s="22"/>
      <c r="BO707" s="4"/>
      <c r="BP707" s="4"/>
      <c r="BQ707" s="4"/>
      <c r="BR707" s="4"/>
      <c r="BS707" s="4"/>
      <c r="BT707" s="22"/>
      <c r="BU707" s="24"/>
    </row>
    <row r="708" spans="1:73" ht="73.5" customHeight="1" outlineLevel="2">
      <c r="A708" s="44" t="s">
        <v>328</v>
      </c>
      <c r="B708" s="45" t="s">
        <v>781</v>
      </c>
      <c r="C708" s="39">
        <f t="shared" si="111"/>
        <v>4088.7814</v>
      </c>
      <c r="D708" s="1">
        <f t="shared" si="109"/>
        <v>0</v>
      </c>
      <c r="E708" s="1">
        <f t="shared" si="110"/>
        <v>4088.7814</v>
      </c>
      <c r="F708" s="22"/>
      <c r="G708" s="22"/>
      <c r="H708" s="22"/>
      <c r="I708" s="22"/>
      <c r="J708" s="22"/>
      <c r="K708" s="22"/>
      <c r="L708" s="22"/>
      <c r="M708" s="22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22"/>
      <c r="AA708" s="22"/>
      <c r="AB708" s="4"/>
      <c r="AC708" s="4"/>
      <c r="AD708" s="22"/>
      <c r="AE708" s="22"/>
      <c r="AF708" s="22"/>
      <c r="AG708" s="22"/>
      <c r="AH708" s="20"/>
      <c r="AI708" s="4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4"/>
      <c r="BA708" s="4"/>
      <c r="BB708" s="4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>
        <v>4088.7814</v>
      </c>
      <c r="BN708" s="22"/>
      <c r="BO708" s="4"/>
      <c r="BP708" s="4"/>
      <c r="BQ708" s="4"/>
      <c r="BR708" s="4"/>
      <c r="BS708" s="4"/>
      <c r="BT708" s="22"/>
      <c r="BU708" s="24"/>
    </row>
    <row r="709" spans="1:73" ht="73.5" customHeight="1" outlineLevel="2">
      <c r="A709" s="44" t="s">
        <v>328</v>
      </c>
      <c r="B709" s="45" t="s">
        <v>146</v>
      </c>
      <c r="C709" s="39">
        <f t="shared" si="111"/>
        <v>459.79206999999997</v>
      </c>
      <c r="D709" s="1">
        <f t="shared" si="109"/>
        <v>441.39833</v>
      </c>
      <c r="E709" s="1">
        <f t="shared" si="110"/>
        <v>18.393739999999998</v>
      </c>
      <c r="F709" s="22"/>
      <c r="G709" s="22"/>
      <c r="H709" s="22"/>
      <c r="I709" s="22"/>
      <c r="J709" s="22"/>
      <c r="K709" s="22"/>
      <c r="L709" s="22"/>
      <c r="M709" s="22"/>
      <c r="N709" s="4">
        <v>441.39833</v>
      </c>
      <c r="O709" s="4">
        <f>0.40109+17.96934+0.02331</f>
        <v>18.393739999999998</v>
      </c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22"/>
      <c r="AA709" s="22"/>
      <c r="AB709" s="4"/>
      <c r="AC709" s="4"/>
      <c r="AD709" s="22"/>
      <c r="AE709" s="22"/>
      <c r="AF709" s="22"/>
      <c r="AG709" s="22"/>
      <c r="AH709" s="20"/>
      <c r="AI709" s="4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4"/>
      <c r="BA709" s="4"/>
      <c r="BB709" s="4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4"/>
      <c r="BP709" s="4"/>
      <c r="BQ709" s="4"/>
      <c r="BR709" s="4"/>
      <c r="BS709" s="4"/>
      <c r="BT709" s="22"/>
      <c r="BU709" s="24"/>
    </row>
    <row r="710" spans="1:73" ht="73.5" customHeight="1" outlineLevel="2">
      <c r="A710" s="46" t="s">
        <v>328</v>
      </c>
      <c r="B710" s="45" t="s">
        <v>404</v>
      </c>
      <c r="C710" s="39">
        <f t="shared" si="111"/>
        <v>6377.36575</v>
      </c>
      <c r="D710" s="1">
        <f t="shared" si="109"/>
        <v>0</v>
      </c>
      <c r="E710" s="1">
        <f t="shared" si="110"/>
        <v>6377.36575</v>
      </c>
      <c r="F710" s="22"/>
      <c r="G710" s="22"/>
      <c r="H710" s="22"/>
      <c r="I710" s="22"/>
      <c r="J710" s="22"/>
      <c r="K710" s="22"/>
      <c r="L710" s="22">
        <v>21.51382</v>
      </c>
      <c r="M710" s="22"/>
      <c r="N710" s="4"/>
      <c r="O710" s="4"/>
      <c r="P710" s="4"/>
      <c r="Q710" s="4">
        <v>1385.58045</v>
      </c>
      <c r="R710" s="4"/>
      <c r="S710" s="4"/>
      <c r="T710" s="4"/>
      <c r="U710" s="4"/>
      <c r="V710" s="4"/>
      <c r="W710" s="4"/>
      <c r="X710" s="4"/>
      <c r="Y710" s="4"/>
      <c r="Z710" s="22"/>
      <c r="AA710" s="22"/>
      <c r="AB710" s="4"/>
      <c r="AC710" s="4"/>
      <c r="AD710" s="22"/>
      <c r="AE710" s="22"/>
      <c r="AF710" s="22"/>
      <c r="AG710" s="22"/>
      <c r="AH710" s="20"/>
      <c r="AI710" s="4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4"/>
      <c r="BA710" s="4"/>
      <c r="BB710" s="4"/>
      <c r="BC710" s="22"/>
      <c r="BD710" s="22"/>
      <c r="BE710" s="22">
        <v>4970.27148</v>
      </c>
      <c r="BF710" s="22"/>
      <c r="BG710" s="22"/>
      <c r="BH710" s="22"/>
      <c r="BI710" s="22"/>
      <c r="BJ710" s="22"/>
      <c r="BK710" s="22"/>
      <c r="BL710" s="22"/>
      <c r="BM710" s="22"/>
      <c r="BN710" s="22"/>
      <c r="BO710" s="4"/>
      <c r="BP710" s="4"/>
      <c r="BQ710" s="4"/>
      <c r="BR710" s="4"/>
      <c r="BS710" s="4"/>
      <c r="BT710" s="22"/>
      <c r="BU710" s="24"/>
    </row>
    <row r="711" spans="1:73" ht="73.5" customHeight="1" outlineLevel="2">
      <c r="A711" s="46" t="s">
        <v>328</v>
      </c>
      <c r="B711" s="26" t="s">
        <v>431</v>
      </c>
      <c r="C711" s="39">
        <f t="shared" si="111"/>
        <v>3990.39548</v>
      </c>
      <c r="D711" s="1">
        <f t="shared" si="109"/>
        <v>0</v>
      </c>
      <c r="E711" s="1">
        <f t="shared" si="110"/>
        <v>3990.39548</v>
      </c>
      <c r="F711" s="22"/>
      <c r="G711" s="22"/>
      <c r="H711" s="22"/>
      <c r="I711" s="22"/>
      <c r="J711" s="22"/>
      <c r="K711" s="22"/>
      <c r="L711" s="22">
        <f>2409.06619+386.66127</f>
        <v>2795.72746</v>
      </c>
      <c r="M711" s="22"/>
      <c r="N711" s="4"/>
      <c r="O711" s="4"/>
      <c r="P711" s="4"/>
      <c r="Q711" s="4">
        <v>1194.66802</v>
      </c>
      <c r="R711" s="4"/>
      <c r="S711" s="4"/>
      <c r="T711" s="4"/>
      <c r="U711" s="4"/>
      <c r="V711" s="4"/>
      <c r="W711" s="4"/>
      <c r="X711" s="4"/>
      <c r="Y711" s="4"/>
      <c r="Z711" s="22"/>
      <c r="AA711" s="22"/>
      <c r="AB711" s="4"/>
      <c r="AC711" s="4"/>
      <c r="AD711" s="22"/>
      <c r="AE711" s="22"/>
      <c r="AF711" s="22"/>
      <c r="AG711" s="22"/>
      <c r="AH711" s="20"/>
      <c r="AI711" s="4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4"/>
      <c r="BA711" s="4"/>
      <c r="BB711" s="4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4"/>
      <c r="BP711" s="4"/>
      <c r="BQ711" s="4"/>
      <c r="BR711" s="4"/>
      <c r="BS711" s="4"/>
      <c r="BT711" s="22"/>
      <c r="BU711" s="24"/>
    </row>
    <row r="712" spans="1:73" ht="73.5" customHeight="1" outlineLevel="2">
      <c r="A712" s="46" t="s">
        <v>328</v>
      </c>
      <c r="B712" s="45" t="s">
        <v>202</v>
      </c>
      <c r="C712" s="39">
        <f t="shared" si="111"/>
        <v>255.5259</v>
      </c>
      <c r="D712" s="1">
        <f t="shared" si="109"/>
        <v>0</v>
      </c>
      <c r="E712" s="1">
        <f t="shared" si="110"/>
        <v>255.5259</v>
      </c>
      <c r="F712" s="22"/>
      <c r="G712" s="22"/>
      <c r="H712" s="22"/>
      <c r="I712" s="22"/>
      <c r="J712" s="22"/>
      <c r="K712" s="22"/>
      <c r="L712" s="22"/>
      <c r="M712" s="22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22"/>
      <c r="AA712" s="22"/>
      <c r="AB712" s="4"/>
      <c r="AC712" s="4"/>
      <c r="AD712" s="22"/>
      <c r="AE712" s="22"/>
      <c r="AF712" s="22"/>
      <c r="AG712" s="22"/>
      <c r="AH712" s="20">
        <f>127.66905+12.04425+115.8126</f>
        <v>255.5259</v>
      </c>
      <c r="AI712" s="4">
        <v>115.8126</v>
      </c>
      <c r="AJ712" s="22">
        <v>139.7133</v>
      </c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4"/>
      <c r="BA712" s="4"/>
      <c r="BB712" s="4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4"/>
      <c r="BP712" s="4"/>
      <c r="BQ712" s="4"/>
      <c r="BR712" s="4"/>
      <c r="BS712" s="4"/>
      <c r="BT712" s="22"/>
      <c r="BU712" s="24"/>
    </row>
    <row r="713" spans="1:73" ht="73.5" customHeight="1" outlineLevel="2">
      <c r="A713" s="46" t="s">
        <v>328</v>
      </c>
      <c r="B713" s="45" t="s">
        <v>63</v>
      </c>
      <c r="C713" s="39">
        <f t="shared" si="111"/>
        <v>33.30076</v>
      </c>
      <c r="D713" s="1">
        <f t="shared" si="109"/>
        <v>0</v>
      </c>
      <c r="E713" s="1">
        <f t="shared" si="110"/>
        <v>33.30076</v>
      </c>
      <c r="F713" s="22"/>
      <c r="G713" s="22"/>
      <c r="H713" s="22"/>
      <c r="I713" s="22"/>
      <c r="J713" s="22"/>
      <c r="K713" s="22"/>
      <c r="L713" s="22"/>
      <c r="M713" s="22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22"/>
      <c r="AA713" s="22"/>
      <c r="AB713" s="4"/>
      <c r="AC713" s="4"/>
      <c r="AD713" s="22"/>
      <c r="AE713" s="22"/>
      <c r="AF713" s="22"/>
      <c r="AG713" s="22"/>
      <c r="AH713" s="20">
        <f>10.81596+22.4848</f>
        <v>33.30076</v>
      </c>
      <c r="AI713" s="4">
        <v>22.4848</v>
      </c>
      <c r="AJ713" s="22">
        <v>10.81596</v>
      </c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4"/>
      <c r="BA713" s="4"/>
      <c r="BB713" s="4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4"/>
      <c r="BP713" s="4"/>
      <c r="BQ713" s="4"/>
      <c r="BR713" s="4"/>
      <c r="BS713" s="4"/>
      <c r="BT713" s="22"/>
      <c r="BU713" s="24"/>
    </row>
    <row r="714" spans="1:73" ht="73.5" customHeight="1" outlineLevel="2" thickBot="1">
      <c r="A714" s="46" t="s">
        <v>328</v>
      </c>
      <c r="B714" s="45" t="s">
        <v>864</v>
      </c>
      <c r="C714" s="39">
        <f t="shared" si="111"/>
        <v>56.82801</v>
      </c>
      <c r="D714" s="1">
        <f t="shared" si="109"/>
        <v>0</v>
      </c>
      <c r="E714" s="1">
        <f t="shared" si="110"/>
        <v>56.82801</v>
      </c>
      <c r="F714" s="22"/>
      <c r="G714" s="22"/>
      <c r="H714" s="22"/>
      <c r="I714" s="22"/>
      <c r="J714" s="22"/>
      <c r="K714" s="22"/>
      <c r="L714" s="22"/>
      <c r="M714" s="22"/>
      <c r="N714" s="4"/>
      <c r="O714" s="4"/>
      <c r="P714" s="4"/>
      <c r="Q714" s="4">
        <v>56.82801</v>
      </c>
      <c r="R714" s="4"/>
      <c r="S714" s="4"/>
      <c r="T714" s="4"/>
      <c r="U714" s="4"/>
      <c r="V714" s="4"/>
      <c r="W714" s="4"/>
      <c r="X714" s="4"/>
      <c r="Y714" s="4"/>
      <c r="Z714" s="22"/>
      <c r="AA714" s="22"/>
      <c r="AB714" s="4"/>
      <c r="AC714" s="4"/>
      <c r="AD714" s="22"/>
      <c r="AE714" s="22"/>
      <c r="AF714" s="22"/>
      <c r="AG714" s="22"/>
      <c r="AH714" s="20"/>
      <c r="AI714" s="4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4"/>
      <c r="BA714" s="4"/>
      <c r="BB714" s="4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4"/>
      <c r="BP714" s="4"/>
      <c r="BQ714" s="4"/>
      <c r="BR714" s="4"/>
      <c r="BS714" s="4"/>
      <c r="BT714" s="22"/>
      <c r="BU714" s="24"/>
    </row>
    <row r="715" spans="1:74" s="35" customFormat="1" ht="73.5" customHeight="1" outlineLevel="1" thickBot="1">
      <c r="A715" s="29" t="s">
        <v>413</v>
      </c>
      <c r="B715" s="74"/>
      <c r="C715" s="32">
        <f aca="true" t="shared" si="112" ref="C715:BN715">SUBTOTAL(9,C637:C714)</f>
        <v>179139.80942000003</v>
      </c>
      <c r="D715" s="32">
        <f t="shared" si="112"/>
        <v>60084.82402999999</v>
      </c>
      <c r="E715" s="32">
        <f t="shared" si="112"/>
        <v>119054.98538999999</v>
      </c>
      <c r="F715" s="75">
        <f t="shared" si="112"/>
        <v>781.80208</v>
      </c>
      <c r="G715" s="75">
        <f t="shared" si="112"/>
        <v>303.79087</v>
      </c>
      <c r="H715" s="75">
        <f t="shared" si="112"/>
        <v>430.70355</v>
      </c>
      <c r="I715" s="75">
        <f t="shared" si="112"/>
        <v>175.76532</v>
      </c>
      <c r="J715" s="75">
        <f t="shared" si="112"/>
        <v>2042.65858</v>
      </c>
      <c r="K715" s="75">
        <f t="shared" si="112"/>
        <v>696.07078</v>
      </c>
      <c r="L715" s="75">
        <f t="shared" si="112"/>
        <v>4018.1334699999998</v>
      </c>
      <c r="M715" s="75">
        <f t="shared" si="112"/>
        <v>6290.68038</v>
      </c>
      <c r="N715" s="75">
        <f t="shared" si="112"/>
        <v>441.39833</v>
      </c>
      <c r="O715" s="75">
        <f t="shared" si="112"/>
        <v>18.393739999999998</v>
      </c>
      <c r="P715" s="75">
        <f t="shared" si="112"/>
        <v>0</v>
      </c>
      <c r="Q715" s="75">
        <f t="shared" si="112"/>
        <v>2637.07648</v>
      </c>
      <c r="R715" s="75">
        <f t="shared" si="112"/>
        <v>679.96141</v>
      </c>
      <c r="S715" s="75">
        <f t="shared" si="112"/>
        <v>596.93892</v>
      </c>
      <c r="T715" s="75">
        <f t="shared" si="112"/>
        <v>0</v>
      </c>
      <c r="U715" s="75">
        <f t="shared" si="112"/>
        <v>0</v>
      </c>
      <c r="V715" s="75">
        <f t="shared" si="112"/>
        <v>20.05222</v>
      </c>
      <c r="W715" s="75">
        <f t="shared" si="112"/>
        <v>246.42757</v>
      </c>
      <c r="X715" s="75">
        <f t="shared" si="112"/>
        <v>2067.52757</v>
      </c>
      <c r="Y715" s="75">
        <f t="shared" si="112"/>
        <v>1283.01262</v>
      </c>
      <c r="Z715" s="75">
        <f t="shared" si="112"/>
        <v>2957.7706799999996</v>
      </c>
      <c r="AA715" s="75">
        <f t="shared" si="112"/>
        <v>3031.821</v>
      </c>
      <c r="AB715" s="75">
        <f t="shared" si="112"/>
        <v>7552.8497800000005</v>
      </c>
      <c r="AC715" s="75">
        <f t="shared" si="112"/>
        <v>2847.4435399999998</v>
      </c>
      <c r="AD715" s="75">
        <f t="shared" si="112"/>
        <v>0</v>
      </c>
      <c r="AE715" s="75">
        <f t="shared" si="112"/>
        <v>0</v>
      </c>
      <c r="AF715" s="75">
        <f t="shared" si="112"/>
        <v>1458</v>
      </c>
      <c r="AG715" s="75">
        <f t="shared" si="112"/>
        <v>1001.6</v>
      </c>
      <c r="AH715" s="75">
        <f t="shared" si="112"/>
        <v>7387.509949999999</v>
      </c>
      <c r="AI715" s="75">
        <f t="shared" si="112"/>
        <v>3786.5774</v>
      </c>
      <c r="AJ715" s="75">
        <f t="shared" si="112"/>
        <v>3600.93255</v>
      </c>
      <c r="AK715" s="75">
        <f t="shared" si="112"/>
        <v>0</v>
      </c>
      <c r="AL715" s="75">
        <f t="shared" si="112"/>
        <v>0</v>
      </c>
      <c r="AM715" s="75">
        <f t="shared" si="112"/>
        <v>5990.20595</v>
      </c>
      <c r="AN715" s="75">
        <f t="shared" si="112"/>
        <v>2429.0448</v>
      </c>
      <c r="AO715" s="75">
        <f t="shared" si="112"/>
        <v>0</v>
      </c>
      <c r="AP715" s="75">
        <f t="shared" si="112"/>
        <v>0</v>
      </c>
      <c r="AQ715" s="75">
        <f t="shared" si="112"/>
        <v>0</v>
      </c>
      <c r="AR715" s="75">
        <f t="shared" si="112"/>
        <v>0</v>
      </c>
      <c r="AS715" s="75">
        <f t="shared" si="112"/>
        <v>0</v>
      </c>
      <c r="AT715" s="75">
        <f t="shared" si="112"/>
        <v>0</v>
      </c>
      <c r="AU715" s="75">
        <f t="shared" si="112"/>
        <v>0</v>
      </c>
      <c r="AV715" s="75">
        <f t="shared" si="112"/>
        <v>0</v>
      </c>
      <c r="AW715" s="75">
        <f t="shared" si="112"/>
        <v>281.96</v>
      </c>
      <c r="AX715" s="75">
        <f t="shared" si="112"/>
        <v>1622.4</v>
      </c>
      <c r="AY715" s="75">
        <f t="shared" si="112"/>
        <v>11706.469750000002</v>
      </c>
      <c r="AZ715" s="75">
        <f t="shared" si="112"/>
        <v>8643.012270000001</v>
      </c>
      <c r="BA715" s="75">
        <f t="shared" si="112"/>
        <v>0</v>
      </c>
      <c r="BB715" s="75">
        <f t="shared" si="112"/>
        <v>0</v>
      </c>
      <c r="BC715" s="75">
        <f t="shared" si="112"/>
        <v>0</v>
      </c>
      <c r="BD715" s="75">
        <f t="shared" si="112"/>
        <v>11082.32049</v>
      </c>
      <c r="BE715" s="75">
        <f t="shared" si="112"/>
        <v>13149.886150000002</v>
      </c>
      <c r="BF715" s="75">
        <f t="shared" si="112"/>
        <v>17871.724130000006</v>
      </c>
      <c r="BG715" s="75">
        <f t="shared" si="112"/>
        <v>11182.818169999999</v>
      </c>
      <c r="BH715" s="75">
        <f t="shared" si="112"/>
        <v>83.7</v>
      </c>
      <c r="BI715" s="75">
        <f t="shared" si="112"/>
        <v>95.67893000000001</v>
      </c>
      <c r="BJ715" s="75">
        <f t="shared" si="112"/>
        <v>593.47539</v>
      </c>
      <c r="BK715" s="75">
        <f t="shared" si="112"/>
        <v>0</v>
      </c>
      <c r="BL715" s="75">
        <f t="shared" si="112"/>
        <v>0</v>
      </c>
      <c r="BM715" s="75">
        <f t="shared" si="112"/>
        <v>12122.75055</v>
      </c>
      <c r="BN715" s="75">
        <f t="shared" si="112"/>
        <v>2000</v>
      </c>
      <c r="BO715" s="75">
        <f aca="true" t="shared" si="113" ref="BO715:BT715">SUBTOTAL(9,BO637:BO714)</f>
        <v>6000</v>
      </c>
      <c r="BP715" s="75">
        <f t="shared" si="113"/>
        <v>14092.643</v>
      </c>
      <c r="BQ715" s="75">
        <f t="shared" si="113"/>
        <v>0</v>
      </c>
      <c r="BR715" s="75">
        <f t="shared" si="113"/>
        <v>0</v>
      </c>
      <c r="BS715" s="32">
        <f t="shared" si="113"/>
        <v>0</v>
      </c>
      <c r="BT715" s="32">
        <f t="shared" si="113"/>
        <v>11224.331</v>
      </c>
      <c r="BU715" s="33"/>
      <c r="BV715" s="34"/>
    </row>
    <row r="716" spans="1:73" ht="73.5" customHeight="1" outlineLevel="2">
      <c r="A716" s="36" t="s">
        <v>414</v>
      </c>
      <c r="B716" s="37" t="s">
        <v>322</v>
      </c>
      <c r="C716" s="39">
        <f>D716+E716</f>
        <v>17488.69474</v>
      </c>
      <c r="D716" s="1">
        <f aca="true" t="shared" si="114" ref="D716:D722">F716+J716+N716+R716+T716+Z716+AB716+AD716+AF716+AM716+AO716+AT716+AY716+BF716+BO716+BS716+H716+V716+X716+BQ716+AR716+BH716</f>
        <v>9155.33705</v>
      </c>
      <c r="E716" s="1">
        <f aca="true" t="shared" si="115" ref="E716:E722">G716+I716+K716+L716+M716+O716+P716+Q716+S716+U716+W716+Y716+AA716+AC716+AE716+AG716+AH716+AK716+AL716+AN716+AP716+AQ716+AS716+AU716+AV716+AW716+AX716+AZ716+BA716+BB716+BC716+BD716+BE716+BG716+BI716+BJ716+BK716+BL716+BM716+BN716+BU716+BP716+BR716+BT716</f>
        <v>8333.357689999999</v>
      </c>
      <c r="F716" s="40"/>
      <c r="G716" s="40"/>
      <c r="H716" s="40"/>
      <c r="I716" s="40"/>
      <c r="J716" s="40"/>
      <c r="K716" s="40"/>
      <c r="L716" s="40"/>
      <c r="M716" s="40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0">
        <v>165.06999</v>
      </c>
      <c r="AA716" s="40">
        <v>217.0395</v>
      </c>
      <c r="AB716" s="42">
        <v>1209.98544</v>
      </c>
      <c r="AC716" s="41">
        <v>482.49903</v>
      </c>
      <c r="AD716" s="40"/>
      <c r="AE716" s="40"/>
      <c r="AF716" s="40"/>
      <c r="AG716" s="40"/>
      <c r="AH716" s="43">
        <f>61.68246+191.08196+190.29915+637.15535</f>
        <v>1080.21892</v>
      </c>
      <c r="AI716" s="41">
        <v>637.15535</v>
      </c>
      <c r="AJ716" s="40">
        <v>443.06357</v>
      </c>
      <c r="AK716" s="40"/>
      <c r="AL716" s="40">
        <v>78.27957</v>
      </c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>
        <v>3007.79262</v>
      </c>
      <c r="AZ716" s="41">
        <v>3316.32728</v>
      </c>
      <c r="BA716" s="41"/>
      <c r="BB716" s="41"/>
      <c r="BC716" s="40"/>
      <c r="BD716" s="40"/>
      <c r="BE716" s="40">
        <v>126</v>
      </c>
      <c r="BF716" s="40">
        <v>4772.489</v>
      </c>
      <c r="BG716" s="40">
        <v>2977.89515</v>
      </c>
      <c r="BH716" s="40"/>
      <c r="BI716" s="40"/>
      <c r="BJ716" s="40">
        <v>55.09824</v>
      </c>
      <c r="BK716" s="40"/>
      <c r="BL716" s="40"/>
      <c r="BM716" s="40"/>
      <c r="BN716" s="40"/>
      <c r="BO716" s="41"/>
      <c r="BP716" s="41"/>
      <c r="BQ716" s="41"/>
      <c r="BR716" s="41"/>
      <c r="BS716" s="4"/>
      <c r="BT716" s="22"/>
      <c r="BU716" s="24"/>
    </row>
    <row r="717" spans="1:73" ht="73.5" customHeight="1" outlineLevel="2">
      <c r="A717" s="36" t="s">
        <v>414</v>
      </c>
      <c r="B717" s="37" t="s">
        <v>747</v>
      </c>
      <c r="C717" s="39">
        <f aca="true" t="shared" si="116" ref="C717:C722">D717+E717</f>
        <v>92508.65914</v>
      </c>
      <c r="D717" s="1">
        <f t="shared" si="114"/>
        <v>48962.65865</v>
      </c>
      <c r="E717" s="1">
        <f t="shared" si="115"/>
        <v>43546.00049</v>
      </c>
      <c r="F717" s="40"/>
      <c r="G717" s="40"/>
      <c r="H717" s="40"/>
      <c r="I717" s="40"/>
      <c r="J717" s="40">
        <v>8570.58325</v>
      </c>
      <c r="K717" s="40">
        <v>2628.34492</v>
      </c>
      <c r="L717" s="40">
        <v>37.62748</v>
      </c>
      <c r="M717" s="40"/>
      <c r="N717" s="41"/>
      <c r="O717" s="41"/>
      <c r="P717" s="41"/>
      <c r="Q717" s="41"/>
      <c r="R717" s="41">
        <v>1899.00608</v>
      </c>
      <c r="S717" s="41">
        <v>1250.89648</v>
      </c>
      <c r="T717" s="41"/>
      <c r="U717" s="41"/>
      <c r="V717" s="41"/>
      <c r="W717" s="41"/>
      <c r="X717" s="41"/>
      <c r="Y717" s="41"/>
      <c r="Z717" s="40"/>
      <c r="AA717" s="40"/>
      <c r="AB717" s="42">
        <v>8777.09486</v>
      </c>
      <c r="AC717" s="41">
        <v>2557.94413</v>
      </c>
      <c r="AD717" s="40"/>
      <c r="AE717" s="40"/>
      <c r="AF717" s="40"/>
      <c r="AG717" s="40"/>
      <c r="AH717" s="43">
        <f>362.7239+1580.2056+212.8304+2730.4</f>
        <v>4886.159900000001</v>
      </c>
      <c r="AI717" s="41">
        <f>212.8304+2730.4</f>
        <v>2943.2304</v>
      </c>
      <c r="AJ717" s="40">
        <v>1942.9295</v>
      </c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>
        <v>12094.85808</v>
      </c>
      <c r="AZ717" s="41">
        <v>7156.60429</v>
      </c>
      <c r="BA717" s="41"/>
      <c r="BB717" s="41"/>
      <c r="BC717" s="40"/>
      <c r="BD717" s="40">
        <f>12921.71098+41.47069</f>
        <v>12963.18167</v>
      </c>
      <c r="BE717" s="40"/>
      <c r="BF717" s="40">
        <f>17991.69603-370.57965</f>
        <v>17621.11638</v>
      </c>
      <c r="BG717" s="40">
        <f>11223.4723-232.70155</f>
        <v>10990.77075</v>
      </c>
      <c r="BH717" s="40"/>
      <c r="BI717" s="40"/>
      <c r="BJ717" s="40">
        <v>1074.47087</v>
      </c>
      <c r="BK717" s="40"/>
      <c r="BL717" s="40"/>
      <c r="BM717" s="40"/>
      <c r="BN717" s="40"/>
      <c r="BO717" s="41"/>
      <c r="BP717" s="41"/>
      <c r="BQ717" s="41"/>
      <c r="BR717" s="41"/>
      <c r="BS717" s="4"/>
      <c r="BT717" s="22"/>
      <c r="BU717" s="24"/>
    </row>
    <row r="718" spans="1:74" ht="73.5" customHeight="1" outlineLevel="2">
      <c r="A718" s="46" t="s">
        <v>414</v>
      </c>
      <c r="B718" s="45" t="s">
        <v>542</v>
      </c>
      <c r="C718" s="39">
        <f t="shared" si="116"/>
        <v>13727.745990000001</v>
      </c>
      <c r="D718" s="1">
        <f t="shared" si="114"/>
        <v>6836.27353</v>
      </c>
      <c r="E718" s="1">
        <f t="shared" si="115"/>
        <v>6891.472460000001</v>
      </c>
      <c r="F718" s="22"/>
      <c r="G718" s="22"/>
      <c r="H718" s="22"/>
      <c r="I718" s="22"/>
      <c r="J718" s="22"/>
      <c r="K718" s="22">
        <v>1295.33317</v>
      </c>
      <c r="L718" s="22"/>
      <c r="M718" s="22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22"/>
      <c r="AA718" s="22"/>
      <c r="AB718" s="23"/>
      <c r="AC718" s="4"/>
      <c r="AD718" s="22"/>
      <c r="AE718" s="22"/>
      <c r="AF718" s="22"/>
      <c r="AG718" s="22"/>
      <c r="AH718" s="20">
        <f>323.54196+1006.70585</f>
        <v>1330.24781</v>
      </c>
      <c r="AI718" s="4">
        <v>1006.70585</v>
      </c>
      <c r="AJ718" s="22">
        <v>323.54196</v>
      </c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4"/>
      <c r="BA718" s="4"/>
      <c r="BB718" s="4"/>
      <c r="BC718" s="22"/>
      <c r="BD718" s="22"/>
      <c r="BE718" s="22"/>
      <c r="BF718" s="22">
        <v>6836.27353</v>
      </c>
      <c r="BG718" s="22">
        <v>4265.89148</v>
      </c>
      <c r="BH718" s="22"/>
      <c r="BI718" s="22"/>
      <c r="BJ718" s="22"/>
      <c r="BK718" s="22"/>
      <c r="BL718" s="22"/>
      <c r="BM718" s="22"/>
      <c r="BN718" s="22"/>
      <c r="BO718" s="4"/>
      <c r="BP718" s="4"/>
      <c r="BQ718" s="4"/>
      <c r="BR718" s="4"/>
      <c r="BS718" s="4"/>
      <c r="BT718" s="22"/>
      <c r="BU718" s="24"/>
      <c r="BV718" s="12" t="s">
        <v>744</v>
      </c>
    </row>
    <row r="719" spans="1:73" ht="73.5" customHeight="1" outlineLevel="2">
      <c r="A719" s="46" t="s">
        <v>414</v>
      </c>
      <c r="B719" s="45" t="s">
        <v>34</v>
      </c>
      <c r="C719" s="39">
        <f t="shared" si="116"/>
        <v>179583.15761999998</v>
      </c>
      <c r="D719" s="1">
        <f t="shared" si="114"/>
        <v>58702.240309999994</v>
      </c>
      <c r="E719" s="1">
        <f t="shared" si="115"/>
        <v>120880.91730999999</v>
      </c>
      <c r="F719" s="22"/>
      <c r="G719" s="22"/>
      <c r="H719" s="22"/>
      <c r="I719" s="22"/>
      <c r="J719" s="22"/>
      <c r="K719" s="22"/>
      <c r="L719" s="22"/>
      <c r="M719" s="22">
        <f>11058.86664+11440.02501+11440.02501+11058.86664</f>
        <v>44997.783299999996</v>
      </c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22">
        <v>1891.25614</v>
      </c>
      <c r="AA719" s="22">
        <v>2908.935</v>
      </c>
      <c r="AB719" s="23">
        <v>6214.59677</v>
      </c>
      <c r="AC719" s="4">
        <v>1905.05535</v>
      </c>
      <c r="AD719" s="22"/>
      <c r="AE719" s="22"/>
      <c r="AF719" s="22"/>
      <c r="AG719" s="22"/>
      <c r="AH719" s="20">
        <f>3249.9+1665.65784+144.531+252.92925+266.038+2705.66275</f>
        <v>8284.71884</v>
      </c>
      <c r="AI719" s="4">
        <f>266.038+2705.66275</f>
        <v>2971.70075</v>
      </c>
      <c r="AJ719" s="22">
        <v>5313.01809</v>
      </c>
      <c r="AK719" s="22"/>
      <c r="AL719" s="22"/>
      <c r="AM719" s="22"/>
      <c r="AN719" s="22"/>
      <c r="AO719" s="22"/>
      <c r="AP719" s="22"/>
      <c r="AQ719" s="22"/>
      <c r="AR719" s="22"/>
      <c r="AS719" s="22"/>
      <c r="AT719" s="22">
        <v>630.55659</v>
      </c>
      <c r="AU719" s="22">
        <v>1627.5</v>
      </c>
      <c r="AV719" s="22"/>
      <c r="AW719" s="22"/>
      <c r="AX719" s="22">
        <v>3028.48</v>
      </c>
      <c r="AY719" s="4">
        <v>20302.71984</v>
      </c>
      <c r="AZ719" s="4">
        <v>28888.14254</v>
      </c>
      <c r="BA719" s="4"/>
      <c r="BB719" s="4"/>
      <c r="BC719" s="22"/>
      <c r="BD719" s="22"/>
      <c r="BE719" s="22">
        <v>10656.27763</v>
      </c>
      <c r="BF719" s="22">
        <f>30036.49097-373.38</f>
        <v>29663.110969999998</v>
      </c>
      <c r="BG719" s="22">
        <f>668.03356+18031.83049-234.46</f>
        <v>18465.40405</v>
      </c>
      <c r="BH719" s="22"/>
      <c r="BI719" s="22"/>
      <c r="BJ719" s="22"/>
      <c r="BK719" s="22">
        <v>118.6206</v>
      </c>
      <c r="BL719" s="22"/>
      <c r="BM719" s="22"/>
      <c r="BN719" s="22"/>
      <c r="BO719" s="4"/>
      <c r="BP719" s="4"/>
      <c r="BQ719" s="4"/>
      <c r="BR719" s="4"/>
      <c r="BS719" s="4"/>
      <c r="BT719" s="22"/>
      <c r="BU719" s="24"/>
    </row>
    <row r="720" spans="1:73" ht="73.5" customHeight="1" outlineLevel="2">
      <c r="A720" s="46" t="s">
        <v>414</v>
      </c>
      <c r="B720" s="45" t="s">
        <v>776</v>
      </c>
      <c r="C720" s="39">
        <f t="shared" si="116"/>
        <v>15750.85806</v>
      </c>
      <c r="D720" s="1">
        <f t="shared" si="114"/>
        <v>9350.29757</v>
      </c>
      <c r="E720" s="1">
        <f t="shared" si="115"/>
        <v>6400.56049</v>
      </c>
      <c r="F720" s="22"/>
      <c r="G720" s="22"/>
      <c r="H720" s="22"/>
      <c r="I720" s="22"/>
      <c r="J720" s="22"/>
      <c r="K720" s="22"/>
      <c r="L720" s="22"/>
      <c r="M720" s="22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22"/>
      <c r="AA720" s="22"/>
      <c r="AB720" s="23">
        <v>1823.5635</v>
      </c>
      <c r="AC720" s="4">
        <v>868.26516</v>
      </c>
      <c r="AD720" s="22"/>
      <c r="AE720" s="22"/>
      <c r="AF720" s="22"/>
      <c r="AG720" s="22"/>
      <c r="AH720" s="20">
        <f>232.37606+32.44788+31.31505+722.6095</f>
        <v>1018.74849</v>
      </c>
      <c r="AI720" s="4">
        <v>722.6095</v>
      </c>
      <c r="AJ720" s="22">
        <f>AH720-AI720</f>
        <v>296.1389899999999</v>
      </c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>
        <v>2936.82917</v>
      </c>
      <c r="AZ720" s="4">
        <v>1646.52887</v>
      </c>
      <c r="BA720" s="4"/>
      <c r="BB720" s="4"/>
      <c r="BC720" s="22"/>
      <c r="BD720" s="22"/>
      <c r="BE720" s="22"/>
      <c r="BF720" s="22">
        <v>4589.9049</v>
      </c>
      <c r="BG720" s="22">
        <f>2187.37172+679.64625</f>
        <v>2867.01797</v>
      </c>
      <c r="BH720" s="22"/>
      <c r="BI720" s="22"/>
      <c r="BJ720" s="22"/>
      <c r="BK720" s="22"/>
      <c r="BL720" s="22"/>
      <c r="BM720" s="22"/>
      <c r="BN720" s="22"/>
      <c r="BO720" s="4"/>
      <c r="BP720" s="4"/>
      <c r="BQ720" s="4"/>
      <c r="BR720" s="4"/>
      <c r="BS720" s="4"/>
      <c r="BT720" s="22"/>
      <c r="BU720" s="24"/>
    </row>
    <row r="721" spans="1:73" ht="73.5" customHeight="1" outlineLevel="2">
      <c r="A721" s="46" t="s">
        <v>414</v>
      </c>
      <c r="B721" s="45" t="s">
        <v>582</v>
      </c>
      <c r="C721" s="39">
        <f t="shared" si="116"/>
        <v>334.2822</v>
      </c>
      <c r="D721" s="1">
        <f t="shared" si="114"/>
        <v>0</v>
      </c>
      <c r="E721" s="1">
        <f t="shared" si="115"/>
        <v>334.2822</v>
      </c>
      <c r="F721" s="22"/>
      <c r="G721" s="22"/>
      <c r="H721" s="22"/>
      <c r="I721" s="22"/>
      <c r="J721" s="22"/>
      <c r="K721" s="22"/>
      <c r="L721" s="22"/>
      <c r="M721" s="22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22"/>
      <c r="AA721" s="22"/>
      <c r="AB721" s="23"/>
      <c r="AC721" s="4"/>
      <c r="AD721" s="22"/>
      <c r="AE721" s="22"/>
      <c r="AF721" s="22"/>
      <c r="AG721" s="22"/>
      <c r="AH721" s="20"/>
      <c r="AI721" s="4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4"/>
      <c r="BA721" s="4"/>
      <c r="BB721" s="4"/>
      <c r="BC721" s="22"/>
      <c r="BD721" s="22"/>
      <c r="BE721" s="22">
        <v>334.2822</v>
      </c>
      <c r="BF721" s="22"/>
      <c r="BG721" s="22"/>
      <c r="BH721" s="22"/>
      <c r="BI721" s="22"/>
      <c r="BJ721" s="22"/>
      <c r="BK721" s="22"/>
      <c r="BL721" s="22"/>
      <c r="BM721" s="22"/>
      <c r="BN721" s="22"/>
      <c r="BO721" s="4"/>
      <c r="BP721" s="4"/>
      <c r="BQ721" s="4"/>
      <c r="BR721" s="4"/>
      <c r="BS721" s="4"/>
      <c r="BT721" s="22"/>
      <c r="BU721" s="24"/>
    </row>
    <row r="722" spans="1:73" ht="73.5" customHeight="1" outlineLevel="2" thickBot="1">
      <c r="A722" s="46" t="s">
        <v>414</v>
      </c>
      <c r="B722" s="45" t="s">
        <v>976</v>
      </c>
      <c r="C722" s="39">
        <f t="shared" si="116"/>
        <v>35.91084</v>
      </c>
      <c r="D722" s="1">
        <f t="shared" si="114"/>
        <v>22.09446</v>
      </c>
      <c r="E722" s="1">
        <f t="shared" si="115"/>
        <v>13.81638</v>
      </c>
      <c r="F722" s="22"/>
      <c r="G722" s="22"/>
      <c r="H722" s="22"/>
      <c r="I722" s="22"/>
      <c r="J722" s="22"/>
      <c r="K722" s="22"/>
      <c r="L722" s="22"/>
      <c r="M722" s="22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22"/>
      <c r="AA722" s="22"/>
      <c r="AB722" s="23"/>
      <c r="AC722" s="4"/>
      <c r="AD722" s="22"/>
      <c r="AE722" s="22"/>
      <c r="AF722" s="22"/>
      <c r="AG722" s="22"/>
      <c r="AH722" s="20"/>
      <c r="AI722" s="4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4"/>
      <c r="BA722" s="4"/>
      <c r="BB722" s="4"/>
      <c r="BC722" s="22"/>
      <c r="BD722" s="22"/>
      <c r="BE722" s="22"/>
      <c r="BF722" s="22">
        <v>22.09446</v>
      </c>
      <c r="BG722" s="22">
        <v>13.81638</v>
      </c>
      <c r="BH722" s="22"/>
      <c r="BI722" s="22"/>
      <c r="BJ722" s="22"/>
      <c r="BK722" s="22"/>
      <c r="BL722" s="22"/>
      <c r="BM722" s="22"/>
      <c r="BN722" s="22"/>
      <c r="BO722" s="4"/>
      <c r="BP722" s="4"/>
      <c r="BQ722" s="4"/>
      <c r="BR722" s="4"/>
      <c r="BS722" s="4"/>
      <c r="BT722" s="22"/>
      <c r="BU722" s="24"/>
    </row>
    <row r="723" spans="1:74" s="35" customFormat="1" ht="73.5" customHeight="1" outlineLevel="1" thickBot="1">
      <c r="A723" s="29" t="s">
        <v>218</v>
      </c>
      <c r="B723" s="48"/>
      <c r="C723" s="31">
        <f>SUBTOTAL(9,C716:C722)</f>
        <v>319429.30859000003</v>
      </c>
      <c r="D723" s="31">
        <f>SUBTOTAL(9,D716:D722)</f>
        <v>133028.90157</v>
      </c>
      <c r="E723" s="31">
        <f>SUBTOTAL(9,E716:E722)</f>
        <v>186400.40701999998</v>
      </c>
      <c r="F723" s="31">
        <f aca="true" t="shared" si="117" ref="F723:BQ723">SUBTOTAL(9,F716:F722)</f>
        <v>0</v>
      </c>
      <c r="G723" s="31">
        <f t="shared" si="117"/>
        <v>0</v>
      </c>
      <c r="H723" s="31">
        <f t="shared" si="117"/>
        <v>0</v>
      </c>
      <c r="I723" s="31">
        <f t="shared" si="117"/>
        <v>0</v>
      </c>
      <c r="J723" s="31">
        <f t="shared" si="117"/>
        <v>8570.58325</v>
      </c>
      <c r="K723" s="31">
        <f t="shared" si="117"/>
        <v>3923.6780900000003</v>
      </c>
      <c r="L723" s="31">
        <f t="shared" si="117"/>
        <v>37.62748</v>
      </c>
      <c r="M723" s="31">
        <f t="shared" si="117"/>
        <v>44997.783299999996</v>
      </c>
      <c r="N723" s="31">
        <f t="shared" si="117"/>
        <v>0</v>
      </c>
      <c r="O723" s="31">
        <f t="shared" si="117"/>
        <v>0</v>
      </c>
      <c r="P723" s="31">
        <f t="shared" si="117"/>
        <v>0</v>
      </c>
      <c r="Q723" s="31">
        <f t="shared" si="117"/>
        <v>0</v>
      </c>
      <c r="R723" s="31">
        <f t="shared" si="117"/>
        <v>1899.00608</v>
      </c>
      <c r="S723" s="31">
        <f t="shared" si="117"/>
        <v>1250.89648</v>
      </c>
      <c r="T723" s="31">
        <f t="shared" si="117"/>
        <v>0</v>
      </c>
      <c r="U723" s="31">
        <f t="shared" si="117"/>
        <v>0</v>
      </c>
      <c r="V723" s="31">
        <f t="shared" si="117"/>
        <v>0</v>
      </c>
      <c r="W723" s="31">
        <f t="shared" si="117"/>
        <v>0</v>
      </c>
      <c r="X723" s="31">
        <f t="shared" si="117"/>
        <v>0</v>
      </c>
      <c r="Y723" s="31">
        <f t="shared" si="117"/>
        <v>0</v>
      </c>
      <c r="Z723" s="31">
        <f t="shared" si="117"/>
        <v>2056.32613</v>
      </c>
      <c r="AA723" s="31">
        <f t="shared" si="117"/>
        <v>3125.9745</v>
      </c>
      <c r="AB723" s="31">
        <f t="shared" si="117"/>
        <v>18025.240569999998</v>
      </c>
      <c r="AC723" s="31">
        <f t="shared" si="117"/>
        <v>5813.763669999999</v>
      </c>
      <c r="AD723" s="31">
        <f t="shared" si="117"/>
        <v>0</v>
      </c>
      <c r="AE723" s="31">
        <f t="shared" si="117"/>
        <v>0</v>
      </c>
      <c r="AF723" s="31">
        <f t="shared" si="117"/>
        <v>0</v>
      </c>
      <c r="AG723" s="31">
        <f t="shared" si="117"/>
        <v>0</v>
      </c>
      <c r="AH723" s="31">
        <f t="shared" si="117"/>
        <v>16600.09396</v>
      </c>
      <c r="AI723" s="31">
        <f t="shared" si="117"/>
        <v>8281.40185</v>
      </c>
      <c r="AJ723" s="31">
        <f t="shared" si="117"/>
        <v>8318.69211</v>
      </c>
      <c r="AK723" s="31">
        <f t="shared" si="117"/>
        <v>0</v>
      </c>
      <c r="AL723" s="31">
        <f t="shared" si="117"/>
        <v>78.27957</v>
      </c>
      <c r="AM723" s="31">
        <f t="shared" si="117"/>
        <v>0</v>
      </c>
      <c r="AN723" s="31">
        <f t="shared" si="117"/>
        <v>0</v>
      </c>
      <c r="AO723" s="31">
        <f t="shared" si="117"/>
        <v>0</v>
      </c>
      <c r="AP723" s="31">
        <f t="shared" si="117"/>
        <v>0</v>
      </c>
      <c r="AQ723" s="31">
        <f t="shared" si="117"/>
        <v>0</v>
      </c>
      <c r="AR723" s="31">
        <f t="shared" si="117"/>
        <v>0</v>
      </c>
      <c r="AS723" s="31">
        <f t="shared" si="117"/>
        <v>0</v>
      </c>
      <c r="AT723" s="31">
        <f t="shared" si="117"/>
        <v>630.55659</v>
      </c>
      <c r="AU723" s="31">
        <f t="shared" si="117"/>
        <v>1627.5</v>
      </c>
      <c r="AV723" s="31">
        <f t="shared" si="117"/>
        <v>0</v>
      </c>
      <c r="AW723" s="31">
        <f t="shared" si="117"/>
        <v>0</v>
      </c>
      <c r="AX723" s="31">
        <f t="shared" si="117"/>
        <v>3028.48</v>
      </c>
      <c r="AY723" s="31">
        <f t="shared" si="117"/>
        <v>38342.19971</v>
      </c>
      <c r="AZ723" s="31">
        <f t="shared" si="117"/>
        <v>41007.60298</v>
      </c>
      <c r="BA723" s="31">
        <f t="shared" si="117"/>
        <v>0</v>
      </c>
      <c r="BB723" s="31">
        <f t="shared" si="117"/>
        <v>0</v>
      </c>
      <c r="BC723" s="31">
        <f t="shared" si="117"/>
        <v>0</v>
      </c>
      <c r="BD723" s="31">
        <f t="shared" si="117"/>
        <v>12963.18167</v>
      </c>
      <c r="BE723" s="31">
        <f t="shared" si="117"/>
        <v>11116.55983</v>
      </c>
      <c r="BF723" s="31">
        <f t="shared" si="117"/>
        <v>63504.989239999995</v>
      </c>
      <c r="BG723" s="31">
        <f t="shared" si="117"/>
        <v>39580.79577999999</v>
      </c>
      <c r="BH723" s="31">
        <f t="shared" si="117"/>
        <v>0</v>
      </c>
      <c r="BI723" s="31">
        <f t="shared" si="117"/>
        <v>0</v>
      </c>
      <c r="BJ723" s="31">
        <f t="shared" si="117"/>
        <v>1129.5691100000001</v>
      </c>
      <c r="BK723" s="31">
        <f t="shared" si="117"/>
        <v>118.6206</v>
      </c>
      <c r="BL723" s="31">
        <f t="shared" si="117"/>
        <v>0</v>
      </c>
      <c r="BM723" s="31">
        <f t="shared" si="117"/>
        <v>0</v>
      </c>
      <c r="BN723" s="31">
        <f t="shared" si="117"/>
        <v>0</v>
      </c>
      <c r="BO723" s="31">
        <f t="shared" si="117"/>
        <v>0</v>
      </c>
      <c r="BP723" s="31">
        <f t="shared" si="117"/>
        <v>0</v>
      </c>
      <c r="BQ723" s="31">
        <f t="shared" si="117"/>
        <v>0</v>
      </c>
      <c r="BR723" s="31">
        <f>SUBTOTAL(9,BR716:BR722)</f>
        <v>0</v>
      </c>
      <c r="BS723" s="32">
        <f>SUBTOTAL(9,BS716:BS722)</f>
        <v>0</v>
      </c>
      <c r="BT723" s="32">
        <f>SUBTOTAL(9,BT716:BT722)</f>
        <v>0</v>
      </c>
      <c r="BU723" s="33"/>
      <c r="BV723" s="34"/>
    </row>
    <row r="724" spans="1:73" ht="73.5" customHeight="1" outlineLevel="2">
      <c r="A724" s="36" t="s">
        <v>219</v>
      </c>
      <c r="B724" s="37" t="s">
        <v>317</v>
      </c>
      <c r="C724" s="39">
        <f>D724+E724</f>
        <v>2038.95394</v>
      </c>
      <c r="D724" s="1">
        <f aca="true" t="shared" si="118" ref="D724:D738">F724+J724+N724+R724+T724+Z724+AB724+AD724+AF724+AM724+AO724+AT724+AY724+BF724+BO724+BS724+H724+V724+X724+BQ724+AR724+BH724</f>
        <v>525.27991</v>
      </c>
      <c r="E724" s="1">
        <f aca="true" t="shared" si="119" ref="E724:E738">G724+I724+K724+L724+M724+O724+P724+Q724+S724+U724+W724+Y724+AA724+AC724+AE724+AG724+AH724+AK724+AL724+AN724+AP724+AQ724+AS724+AU724+AV724+AW724+AX724+AZ724+BA724+BB724+BC724+BD724+BE724+BG724+BI724+BJ724+BK724+BL724+BM724+BN724+BU724+BP724+BR724+BT724</f>
        <v>1513.6740300000001</v>
      </c>
      <c r="F724" s="40"/>
      <c r="G724" s="40"/>
      <c r="H724" s="40"/>
      <c r="I724" s="40"/>
      <c r="J724" s="40"/>
      <c r="K724" s="40"/>
      <c r="L724" s="40">
        <v>676.54038</v>
      </c>
      <c r="M724" s="40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0"/>
      <c r="AA724" s="40">
        <v>35.8425</v>
      </c>
      <c r="AB724" s="41">
        <v>136.0503</v>
      </c>
      <c r="AC724" s="41">
        <v>88.5747</v>
      </c>
      <c r="AD724" s="40"/>
      <c r="AE724" s="40"/>
      <c r="AF724" s="40"/>
      <c r="AG724" s="40"/>
      <c r="AH724" s="43">
        <f>47.77049+84.318</f>
        <v>132.08849</v>
      </c>
      <c r="AI724" s="41">
        <v>84.318</v>
      </c>
      <c r="AJ724" s="40">
        <v>47.77049</v>
      </c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1"/>
      <c r="BA724" s="41"/>
      <c r="BB724" s="41"/>
      <c r="BC724" s="40"/>
      <c r="BD724" s="40">
        <v>337.05875</v>
      </c>
      <c r="BE724" s="40"/>
      <c r="BF724" s="40">
        <v>389.22961</v>
      </c>
      <c r="BG724" s="40">
        <v>243.56921</v>
      </c>
      <c r="BH724" s="40"/>
      <c r="BI724" s="40"/>
      <c r="BJ724" s="40"/>
      <c r="BK724" s="40"/>
      <c r="BL724" s="40"/>
      <c r="BM724" s="40"/>
      <c r="BN724" s="40"/>
      <c r="BO724" s="41"/>
      <c r="BP724" s="41"/>
      <c r="BQ724" s="41"/>
      <c r="BR724" s="41"/>
      <c r="BS724" s="4"/>
      <c r="BT724" s="22"/>
      <c r="BU724" s="24"/>
    </row>
    <row r="725" spans="1:73" ht="73.5" customHeight="1" outlineLevel="2">
      <c r="A725" s="46" t="s">
        <v>219</v>
      </c>
      <c r="B725" s="45" t="s">
        <v>238</v>
      </c>
      <c r="C725" s="39">
        <f aca="true" t="shared" si="120" ref="C725:C738">D725+E725</f>
        <v>10871.32802</v>
      </c>
      <c r="D725" s="1">
        <f t="shared" si="118"/>
        <v>2459.57531</v>
      </c>
      <c r="E725" s="1">
        <f t="shared" si="119"/>
        <v>8411.75271</v>
      </c>
      <c r="F725" s="22"/>
      <c r="G725" s="22"/>
      <c r="H725" s="22"/>
      <c r="I725" s="22"/>
      <c r="J725" s="22">
        <v>29.91185</v>
      </c>
      <c r="K725" s="22">
        <v>7.05037</v>
      </c>
      <c r="L725" s="22">
        <v>566.16407</v>
      </c>
      <c r="M725" s="22">
        <v>3913.0431</v>
      </c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22">
        <v>67.76558</v>
      </c>
      <c r="AA725" s="22">
        <v>93.15</v>
      </c>
      <c r="AB725" s="23">
        <v>1078.36547</v>
      </c>
      <c r="AC725" s="4">
        <v>711.51125</v>
      </c>
      <c r="AD725" s="22"/>
      <c r="AE725" s="22"/>
      <c r="AF725" s="22"/>
      <c r="AG725" s="22"/>
      <c r="AH725" s="20">
        <f>194.68728+286.7209</f>
        <v>481.40817999999996</v>
      </c>
      <c r="AI725" s="4">
        <v>286.7209</v>
      </c>
      <c r="AJ725" s="22">
        <v>194.68728</v>
      </c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4"/>
      <c r="BA725" s="4"/>
      <c r="BB725" s="4"/>
      <c r="BC725" s="22"/>
      <c r="BD725" s="22"/>
      <c r="BE725" s="22">
        <v>1837.90097</v>
      </c>
      <c r="BF725" s="22">
        <v>1283.53241</v>
      </c>
      <c r="BG725" s="22">
        <v>801.52477</v>
      </c>
      <c r="BH725" s="22"/>
      <c r="BI725" s="22"/>
      <c r="BJ725" s="22"/>
      <c r="BK725" s="22"/>
      <c r="BL725" s="22"/>
      <c r="BM725" s="22"/>
      <c r="BN725" s="22"/>
      <c r="BO725" s="4"/>
      <c r="BP725" s="4"/>
      <c r="BQ725" s="4"/>
      <c r="BR725" s="4"/>
      <c r="BS725" s="4"/>
      <c r="BT725" s="22"/>
      <c r="BU725" s="24"/>
    </row>
    <row r="726" spans="1:73" ht="73.5" customHeight="1" outlineLevel="2">
      <c r="A726" s="46" t="s">
        <v>219</v>
      </c>
      <c r="B726" s="45" t="s">
        <v>469</v>
      </c>
      <c r="C726" s="39">
        <f t="shared" si="120"/>
        <v>3941.80524</v>
      </c>
      <c r="D726" s="1">
        <f t="shared" si="118"/>
        <v>1777.7975700000002</v>
      </c>
      <c r="E726" s="1">
        <f t="shared" si="119"/>
        <v>2164.00767</v>
      </c>
      <c r="F726" s="22"/>
      <c r="G726" s="22"/>
      <c r="H726" s="22"/>
      <c r="I726" s="22"/>
      <c r="J726" s="22"/>
      <c r="K726" s="22"/>
      <c r="L726" s="22">
        <v>636.26194</v>
      </c>
      <c r="M726" s="22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22">
        <v>157.5</v>
      </c>
      <c r="AA726" s="22">
        <v>83.592</v>
      </c>
      <c r="AB726" s="23">
        <v>568.19143</v>
      </c>
      <c r="AC726" s="4">
        <v>331.5724</v>
      </c>
      <c r="AD726" s="22"/>
      <c r="AE726" s="22"/>
      <c r="AF726" s="22"/>
      <c r="AG726" s="22"/>
      <c r="AH726" s="20">
        <f>162.2394+198.6422</f>
        <v>360.8816</v>
      </c>
      <c r="AI726" s="4">
        <v>198.6422</v>
      </c>
      <c r="AJ726" s="22">
        <v>162.2394</v>
      </c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4"/>
      <c r="BA726" s="4"/>
      <c r="BB726" s="4"/>
      <c r="BC726" s="22"/>
      <c r="BD726" s="22"/>
      <c r="BE726" s="22">
        <v>93.42368</v>
      </c>
      <c r="BF726" s="22">
        <v>1052.10614</v>
      </c>
      <c r="BG726" s="22">
        <v>658.27605</v>
      </c>
      <c r="BH726" s="22"/>
      <c r="BI726" s="22"/>
      <c r="BJ726" s="22"/>
      <c r="BK726" s="22"/>
      <c r="BL726" s="22"/>
      <c r="BM726" s="22"/>
      <c r="BN726" s="22"/>
      <c r="BO726" s="4"/>
      <c r="BP726" s="4"/>
      <c r="BQ726" s="4"/>
      <c r="BR726" s="4"/>
      <c r="BS726" s="4"/>
      <c r="BT726" s="22"/>
      <c r="BU726" s="24"/>
    </row>
    <row r="727" spans="1:73" ht="73.5" customHeight="1" outlineLevel="2">
      <c r="A727" s="46" t="s">
        <v>219</v>
      </c>
      <c r="B727" s="45" t="s">
        <v>102</v>
      </c>
      <c r="C727" s="39">
        <f t="shared" si="120"/>
        <v>1084.8361599999998</v>
      </c>
      <c r="D727" s="1">
        <f t="shared" si="118"/>
        <v>571.79152</v>
      </c>
      <c r="E727" s="1">
        <f t="shared" si="119"/>
        <v>513.04464</v>
      </c>
      <c r="F727" s="22"/>
      <c r="G727" s="22"/>
      <c r="H727" s="22"/>
      <c r="I727" s="22"/>
      <c r="J727" s="22"/>
      <c r="K727" s="22"/>
      <c r="L727" s="22"/>
      <c r="M727" s="22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22"/>
      <c r="AA727" s="22"/>
      <c r="AB727" s="23">
        <v>162.27487</v>
      </c>
      <c r="AC727" s="4">
        <v>111.00974</v>
      </c>
      <c r="AD727" s="22"/>
      <c r="AE727" s="22"/>
      <c r="AF727" s="22"/>
      <c r="AG727" s="22"/>
      <c r="AH727" s="20"/>
      <c r="AI727" s="4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>
        <v>187.30143</v>
      </c>
      <c r="AZ727" s="4">
        <v>141.04342</v>
      </c>
      <c r="BA727" s="4"/>
      <c r="BB727" s="4"/>
      <c r="BC727" s="22"/>
      <c r="BD727" s="22"/>
      <c r="BE727" s="22">
        <v>121.99455</v>
      </c>
      <c r="BF727" s="22">
        <v>222.21522</v>
      </c>
      <c r="BG727" s="22">
        <v>138.99693</v>
      </c>
      <c r="BH727" s="22"/>
      <c r="BI727" s="22"/>
      <c r="BJ727" s="22"/>
      <c r="BK727" s="22"/>
      <c r="BL727" s="22"/>
      <c r="BM727" s="22"/>
      <c r="BN727" s="22"/>
      <c r="BO727" s="4"/>
      <c r="BP727" s="4"/>
      <c r="BQ727" s="4"/>
      <c r="BR727" s="4"/>
      <c r="BS727" s="4"/>
      <c r="BT727" s="22"/>
      <c r="BU727" s="24"/>
    </row>
    <row r="728" spans="1:73" ht="73.5" customHeight="1" outlineLevel="2">
      <c r="A728" s="46" t="s">
        <v>219</v>
      </c>
      <c r="B728" s="45" t="s">
        <v>103</v>
      </c>
      <c r="C728" s="39">
        <f t="shared" si="120"/>
        <v>1921.39784</v>
      </c>
      <c r="D728" s="1">
        <f t="shared" si="118"/>
        <v>1122.99918</v>
      </c>
      <c r="E728" s="1">
        <f t="shared" si="119"/>
        <v>798.3986600000001</v>
      </c>
      <c r="F728" s="22"/>
      <c r="G728" s="22"/>
      <c r="H728" s="22"/>
      <c r="I728" s="22"/>
      <c r="J728" s="22"/>
      <c r="K728" s="22"/>
      <c r="L728" s="22"/>
      <c r="M728" s="22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22">
        <v>52.12737</v>
      </c>
      <c r="AA728" s="22">
        <v>71.6445</v>
      </c>
      <c r="AB728" s="23">
        <v>323.04663</v>
      </c>
      <c r="AC728" s="4">
        <v>186.47305</v>
      </c>
      <c r="AD728" s="22"/>
      <c r="AE728" s="22"/>
      <c r="AF728" s="22"/>
      <c r="AG728" s="22"/>
      <c r="AH728" s="20">
        <f>19.82926+24.73725</f>
        <v>44.56651</v>
      </c>
      <c r="AI728" s="4">
        <v>24.73725</v>
      </c>
      <c r="AJ728" s="22">
        <v>19.82926</v>
      </c>
      <c r="AK728" s="22"/>
      <c r="AL728" s="22">
        <f>14.5664+13.69424</f>
        <v>28.260640000000002</v>
      </c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4"/>
      <c r="BA728" s="4"/>
      <c r="BB728" s="4"/>
      <c r="BC728" s="22"/>
      <c r="BD728" s="22"/>
      <c r="BE728" s="22"/>
      <c r="BF728" s="22">
        <f>802.89873-55.07355</f>
        <v>747.82518</v>
      </c>
      <c r="BG728" s="22">
        <f>502.03681-34.58285</f>
        <v>467.45396</v>
      </c>
      <c r="BH728" s="22"/>
      <c r="BI728" s="22"/>
      <c r="BJ728" s="22"/>
      <c r="BK728" s="22"/>
      <c r="BL728" s="22"/>
      <c r="BM728" s="22"/>
      <c r="BN728" s="22"/>
      <c r="BO728" s="4"/>
      <c r="BP728" s="4"/>
      <c r="BQ728" s="4"/>
      <c r="BR728" s="4"/>
      <c r="BS728" s="4"/>
      <c r="BT728" s="22"/>
      <c r="BU728" s="24"/>
    </row>
    <row r="729" spans="1:73" ht="73.5" customHeight="1" outlineLevel="2">
      <c r="A729" s="46" t="s">
        <v>219</v>
      </c>
      <c r="B729" s="27" t="s">
        <v>418</v>
      </c>
      <c r="C729" s="39">
        <f t="shared" si="120"/>
        <v>55.224149999999995</v>
      </c>
      <c r="D729" s="1">
        <f t="shared" si="118"/>
        <v>32.83586</v>
      </c>
      <c r="E729" s="1">
        <f t="shared" si="119"/>
        <v>22.38829</v>
      </c>
      <c r="F729" s="22"/>
      <c r="G729" s="22"/>
      <c r="H729" s="22"/>
      <c r="I729" s="22"/>
      <c r="J729" s="22"/>
      <c r="K729" s="22"/>
      <c r="L729" s="22"/>
      <c r="M729" s="22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22"/>
      <c r="AA729" s="22"/>
      <c r="AB729" s="23">
        <v>8.24924</v>
      </c>
      <c r="AC729" s="4">
        <v>6.99274</v>
      </c>
      <c r="AD729" s="22"/>
      <c r="AE729" s="22"/>
      <c r="AF729" s="22"/>
      <c r="AG729" s="22"/>
      <c r="AH729" s="20"/>
      <c r="AI729" s="4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4"/>
      <c r="BA729" s="4"/>
      <c r="BB729" s="4"/>
      <c r="BC729" s="22"/>
      <c r="BD729" s="22"/>
      <c r="BE729" s="22"/>
      <c r="BF729" s="22">
        <v>24.58662</v>
      </c>
      <c r="BG729" s="22">
        <v>15.39555</v>
      </c>
      <c r="BH729" s="22"/>
      <c r="BI729" s="22"/>
      <c r="BJ729" s="22"/>
      <c r="BK729" s="22"/>
      <c r="BL729" s="22"/>
      <c r="BM729" s="22"/>
      <c r="BN729" s="22"/>
      <c r="BO729" s="4"/>
      <c r="BP729" s="4"/>
      <c r="BQ729" s="4"/>
      <c r="BR729" s="4"/>
      <c r="BS729" s="4"/>
      <c r="BT729" s="22"/>
      <c r="BU729" s="24"/>
    </row>
    <row r="730" spans="1:73" ht="73.5" customHeight="1" outlineLevel="2">
      <c r="A730" s="46" t="s">
        <v>219</v>
      </c>
      <c r="B730" s="27" t="s">
        <v>977</v>
      </c>
      <c r="C730" s="39">
        <f t="shared" si="120"/>
        <v>67.21601</v>
      </c>
      <c r="D730" s="1">
        <f t="shared" si="118"/>
        <v>41.54683</v>
      </c>
      <c r="E730" s="1">
        <f t="shared" si="119"/>
        <v>25.66918</v>
      </c>
      <c r="F730" s="22"/>
      <c r="G730" s="22"/>
      <c r="H730" s="22"/>
      <c r="I730" s="22"/>
      <c r="J730" s="22"/>
      <c r="K730" s="22"/>
      <c r="L730" s="22"/>
      <c r="M730" s="22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22"/>
      <c r="AA730" s="22"/>
      <c r="AB730" s="23">
        <v>11.65554</v>
      </c>
      <c r="AC730" s="4">
        <v>6.99274</v>
      </c>
      <c r="AD730" s="22"/>
      <c r="AE730" s="22"/>
      <c r="AF730" s="22"/>
      <c r="AG730" s="22"/>
      <c r="AH730" s="20"/>
      <c r="AI730" s="4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4"/>
      <c r="BA730" s="4"/>
      <c r="BB730" s="4"/>
      <c r="BC730" s="22"/>
      <c r="BD730" s="22"/>
      <c r="BE730" s="22"/>
      <c r="BF730" s="22">
        <v>29.89129</v>
      </c>
      <c r="BG730" s="22">
        <v>18.67644</v>
      </c>
      <c r="BH730" s="22"/>
      <c r="BI730" s="22"/>
      <c r="BJ730" s="22"/>
      <c r="BK730" s="22"/>
      <c r="BL730" s="22"/>
      <c r="BM730" s="22"/>
      <c r="BN730" s="22"/>
      <c r="BO730" s="4"/>
      <c r="BP730" s="4"/>
      <c r="BQ730" s="4"/>
      <c r="BR730" s="4"/>
      <c r="BS730" s="4"/>
      <c r="BT730" s="22"/>
      <c r="BU730" s="24"/>
    </row>
    <row r="731" spans="1:73" ht="73.5" customHeight="1" outlineLevel="2">
      <c r="A731" s="46" t="s">
        <v>219</v>
      </c>
      <c r="B731" s="27" t="s">
        <v>978</v>
      </c>
      <c r="C731" s="39">
        <f>D731+E731</f>
        <v>2996.1</v>
      </c>
      <c r="D731" s="1">
        <f t="shared" si="118"/>
        <v>1500</v>
      </c>
      <c r="E731" s="1">
        <f t="shared" si="119"/>
        <v>1496.1</v>
      </c>
      <c r="F731" s="22"/>
      <c r="G731" s="22"/>
      <c r="H731" s="22"/>
      <c r="I731" s="22"/>
      <c r="J731" s="22"/>
      <c r="K731" s="22"/>
      <c r="L731" s="22"/>
      <c r="M731" s="22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22"/>
      <c r="AA731" s="22"/>
      <c r="AB731" s="23"/>
      <c r="AC731" s="4"/>
      <c r="AD731" s="22"/>
      <c r="AE731" s="22"/>
      <c r="AF731" s="22"/>
      <c r="AG731" s="22"/>
      <c r="AH731" s="20"/>
      <c r="AI731" s="4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4"/>
      <c r="BA731" s="4"/>
      <c r="BB731" s="4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4">
        <v>1500</v>
      </c>
      <c r="BP731" s="4">
        <v>1496.1</v>
      </c>
      <c r="BQ731" s="4"/>
      <c r="BR731" s="4"/>
      <c r="BS731" s="4"/>
      <c r="BT731" s="22"/>
      <c r="BU731" s="24"/>
    </row>
    <row r="732" spans="1:73" ht="73.5" customHeight="1" outlineLevel="2">
      <c r="A732" s="46" t="s">
        <v>219</v>
      </c>
      <c r="B732" s="45" t="s">
        <v>979</v>
      </c>
      <c r="C732" s="39">
        <f t="shared" si="120"/>
        <v>1299.08131</v>
      </c>
      <c r="D732" s="1">
        <f t="shared" si="118"/>
        <v>758.94578</v>
      </c>
      <c r="E732" s="1">
        <f t="shared" si="119"/>
        <v>540.13553</v>
      </c>
      <c r="F732" s="22"/>
      <c r="G732" s="22"/>
      <c r="H732" s="22"/>
      <c r="I732" s="22"/>
      <c r="J732" s="22"/>
      <c r="K732" s="22"/>
      <c r="L732" s="22"/>
      <c r="M732" s="22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22"/>
      <c r="AA732" s="22">
        <v>50.868</v>
      </c>
      <c r="AB732" s="23">
        <v>369.01755</v>
      </c>
      <c r="AC732" s="4">
        <v>227.84676</v>
      </c>
      <c r="AD732" s="22"/>
      <c r="AE732" s="22"/>
      <c r="AF732" s="22"/>
      <c r="AG732" s="22"/>
      <c r="AH732" s="20">
        <f>6.30931+11.2424</f>
        <v>17.55171</v>
      </c>
      <c r="AI732" s="4">
        <v>11.2424</v>
      </c>
      <c r="AJ732" s="22">
        <v>6.30931</v>
      </c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4"/>
      <c r="BA732" s="4"/>
      <c r="BB732" s="4"/>
      <c r="BC732" s="22"/>
      <c r="BD732" s="22"/>
      <c r="BE732" s="22"/>
      <c r="BF732" s="22">
        <v>389.92823</v>
      </c>
      <c r="BG732" s="22">
        <v>243.86906</v>
      </c>
      <c r="BH732" s="22"/>
      <c r="BI732" s="22"/>
      <c r="BJ732" s="22"/>
      <c r="BK732" s="22"/>
      <c r="BL732" s="22"/>
      <c r="BM732" s="22"/>
      <c r="BN732" s="22"/>
      <c r="BO732" s="4"/>
      <c r="BP732" s="4"/>
      <c r="BQ732" s="4"/>
      <c r="BR732" s="4"/>
      <c r="BS732" s="4"/>
      <c r="BT732" s="22"/>
      <c r="BU732" s="24"/>
    </row>
    <row r="733" spans="1:73" ht="73.5" customHeight="1" outlineLevel="2">
      <c r="A733" s="46" t="s">
        <v>219</v>
      </c>
      <c r="B733" s="45" t="s">
        <v>980</v>
      </c>
      <c r="C733" s="39">
        <f t="shared" si="120"/>
        <v>3.53444</v>
      </c>
      <c r="D733" s="1">
        <f t="shared" si="118"/>
        <v>0</v>
      </c>
      <c r="E733" s="1">
        <f t="shared" si="119"/>
        <v>3.53444</v>
      </c>
      <c r="F733" s="22"/>
      <c r="G733" s="22"/>
      <c r="H733" s="22"/>
      <c r="I733" s="22"/>
      <c r="J733" s="22"/>
      <c r="K733" s="22"/>
      <c r="L733" s="22"/>
      <c r="M733" s="22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22"/>
      <c r="AA733" s="22"/>
      <c r="AB733" s="23"/>
      <c r="AC733" s="4"/>
      <c r="AD733" s="22"/>
      <c r="AE733" s="22"/>
      <c r="AF733" s="22"/>
      <c r="AG733" s="22"/>
      <c r="AH733" s="20"/>
      <c r="AI733" s="4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4">
        <v>3.53444</v>
      </c>
      <c r="BA733" s="4"/>
      <c r="BB733" s="4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4"/>
      <c r="BP733" s="4"/>
      <c r="BQ733" s="4"/>
      <c r="BR733" s="4"/>
      <c r="BS733" s="4"/>
      <c r="BT733" s="22"/>
      <c r="BU733" s="24"/>
    </row>
    <row r="734" spans="1:73" ht="73.5" customHeight="1" outlineLevel="2">
      <c r="A734" s="46" t="s">
        <v>219</v>
      </c>
      <c r="B734" s="45" t="s">
        <v>748</v>
      </c>
      <c r="C734" s="39">
        <f t="shared" si="120"/>
        <v>3016.4166</v>
      </c>
      <c r="D734" s="1">
        <f t="shared" si="118"/>
        <v>2.72699</v>
      </c>
      <c r="E734" s="1">
        <f t="shared" si="119"/>
        <v>3013.68961</v>
      </c>
      <c r="F734" s="22"/>
      <c r="G734" s="22"/>
      <c r="H734" s="22"/>
      <c r="I734" s="22"/>
      <c r="J734" s="22"/>
      <c r="K734" s="22"/>
      <c r="L734" s="22"/>
      <c r="M734" s="22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22"/>
      <c r="AA734" s="22"/>
      <c r="AB734" s="23"/>
      <c r="AC734" s="4"/>
      <c r="AD734" s="22"/>
      <c r="AE734" s="22"/>
      <c r="AF734" s="22"/>
      <c r="AG734" s="22"/>
      <c r="AH734" s="20"/>
      <c r="AI734" s="4"/>
      <c r="AJ734" s="22"/>
      <c r="AK734" s="22"/>
      <c r="AL734" s="22">
        <v>28.61514</v>
      </c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>
        <v>2.72699</v>
      </c>
      <c r="AZ734" s="4">
        <v>15.07447</v>
      </c>
      <c r="BA734" s="4"/>
      <c r="BB734" s="4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4"/>
      <c r="BP734" s="4">
        <v>2970</v>
      </c>
      <c r="BQ734" s="4"/>
      <c r="BR734" s="4"/>
      <c r="BS734" s="4"/>
      <c r="BT734" s="22"/>
      <c r="BU734" s="24"/>
    </row>
    <row r="735" spans="1:73" ht="73.5" customHeight="1" outlineLevel="2">
      <c r="A735" s="46" t="s">
        <v>219</v>
      </c>
      <c r="B735" s="45" t="s">
        <v>981</v>
      </c>
      <c r="C735" s="39">
        <f t="shared" si="120"/>
        <v>108.56338</v>
      </c>
      <c r="D735" s="1">
        <f t="shared" si="118"/>
        <v>58.31966</v>
      </c>
      <c r="E735" s="1">
        <f t="shared" si="119"/>
        <v>50.243719999999996</v>
      </c>
      <c r="F735" s="22"/>
      <c r="G735" s="22"/>
      <c r="H735" s="22"/>
      <c r="I735" s="22"/>
      <c r="J735" s="22"/>
      <c r="K735" s="22"/>
      <c r="L735" s="22"/>
      <c r="M735" s="22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22"/>
      <c r="AA735" s="22"/>
      <c r="AB735" s="23">
        <v>10.19427</v>
      </c>
      <c r="AC735" s="4">
        <v>6.99274</v>
      </c>
      <c r="AD735" s="22"/>
      <c r="AE735" s="22"/>
      <c r="AF735" s="22"/>
      <c r="AG735" s="22"/>
      <c r="AH735" s="20"/>
      <c r="AI735" s="4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>
        <v>19.70842</v>
      </c>
      <c r="AZ735" s="4">
        <v>25.48639</v>
      </c>
      <c r="BA735" s="4"/>
      <c r="BB735" s="4"/>
      <c r="BC735" s="22"/>
      <c r="BD735" s="22"/>
      <c r="BE735" s="22"/>
      <c r="BF735" s="22">
        <v>28.41697</v>
      </c>
      <c r="BG735" s="22">
        <v>17.76459</v>
      </c>
      <c r="BH735" s="22"/>
      <c r="BI735" s="22"/>
      <c r="BJ735" s="22"/>
      <c r="BK735" s="22"/>
      <c r="BL735" s="22"/>
      <c r="BM735" s="22"/>
      <c r="BN735" s="22"/>
      <c r="BO735" s="4"/>
      <c r="BP735" s="4"/>
      <c r="BQ735" s="4"/>
      <c r="BR735" s="4"/>
      <c r="BS735" s="4"/>
      <c r="BT735" s="22"/>
      <c r="BU735" s="24"/>
    </row>
    <row r="736" spans="1:73" ht="73.5" customHeight="1" outlineLevel="2">
      <c r="A736" s="46" t="s">
        <v>219</v>
      </c>
      <c r="B736" s="45" t="s">
        <v>75</v>
      </c>
      <c r="C736" s="39">
        <f t="shared" si="120"/>
        <v>1596.2406999999998</v>
      </c>
      <c r="D736" s="1">
        <f t="shared" si="118"/>
        <v>0</v>
      </c>
      <c r="E736" s="1">
        <f t="shared" si="119"/>
        <v>1596.2406999999998</v>
      </c>
      <c r="F736" s="22"/>
      <c r="G736" s="22"/>
      <c r="H736" s="22"/>
      <c r="I736" s="22"/>
      <c r="J736" s="22"/>
      <c r="K736" s="22"/>
      <c r="L736" s="22"/>
      <c r="M736" s="22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22"/>
      <c r="AA736" s="22"/>
      <c r="AB736" s="4"/>
      <c r="AC736" s="4"/>
      <c r="AD736" s="22"/>
      <c r="AE736" s="22"/>
      <c r="AF736" s="22"/>
      <c r="AG736" s="22"/>
      <c r="AH736" s="20"/>
      <c r="AI736" s="4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4"/>
      <c r="BA736" s="4"/>
      <c r="BB736" s="4"/>
      <c r="BC736" s="22"/>
      <c r="BD736" s="22">
        <v>46.4107</v>
      </c>
      <c r="BE736" s="22"/>
      <c r="BF736" s="22"/>
      <c r="BG736" s="22"/>
      <c r="BH736" s="22"/>
      <c r="BI736" s="22"/>
      <c r="BJ736" s="22"/>
      <c r="BK736" s="22"/>
      <c r="BL736" s="22"/>
      <c r="BM736" s="22">
        <v>1549.83</v>
      </c>
      <c r="BN736" s="22"/>
      <c r="BO736" s="4"/>
      <c r="BP736" s="4"/>
      <c r="BQ736" s="4"/>
      <c r="BR736" s="4"/>
      <c r="BS736" s="4"/>
      <c r="BT736" s="22"/>
      <c r="BU736" s="24"/>
    </row>
    <row r="737" spans="1:73" ht="73.5" customHeight="1" outlineLevel="2">
      <c r="A737" s="46" t="s">
        <v>219</v>
      </c>
      <c r="B737" s="45" t="s">
        <v>220</v>
      </c>
      <c r="C737" s="39">
        <f t="shared" si="120"/>
        <v>836.54</v>
      </c>
      <c r="D737" s="1">
        <f t="shared" si="118"/>
        <v>0</v>
      </c>
      <c r="E737" s="1">
        <f t="shared" si="119"/>
        <v>836.54</v>
      </c>
      <c r="F737" s="22"/>
      <c r="G737" s="22"/>
      <c r="H737" s="22"/>
      <c r="I737" s="22"/>
      <c r="J737" s="22"/>
      <c r="K737" s="22"/>
      <c r="L737" s="22"/>
      <c r="M737" s="22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22"/>
      <c r="AA737" s="22"/>
      <c r="AB737" s="4"/>
      <c r="AC737" s="4"/>
      <c r="AD737" s="22"/>
      <c r="AE737" s="22"/>
      <c r="AF737" s="22"/>
      <c r="AG737" s="22"/>
      <c r="AH737" s="20"/>
      <c r="AI737" s="4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4"/>
      <c r="BA737" s="4"/>
      <c r="BB737" s="4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>
        <f>231.93+604.61</f>
        <v>836.54</v>
      </c>
      <c r="BN737" s="22"/>
      <c r="BO737" s="4"/>
      <c r="BP737" s="4"/>
      <c r="BQ737" s="4"/>
      <c r="BR737" s="4"/>
      <c r="BS737" s="4"/>
      <c r="BT737" s="22"/>
      <c r="BU737" s="24"/>
    </row>
    <row r="738" spans="1:73" ht="73.5" customHeight="1" outlineLevel="2">
      <c r="A738" s="46" t="s">
        <v>219</v>
      </c>
      <c r="B738" s="45" t="s">
        <v>856</v>
      </c>
      <c r="C738" s="2">
        <f t="shared" si="120"/>
        <v>61.02804999999999</v>
      </c>
      <c r="D738" s="1">
        <f t="shared" si="118"/>
        <v>0</v>
      </c>
      <c r="E738" s="1">
        <f t="shared" si="119"/>
        <v>61.02804999999999</v>
      </c>
      <c r="F738" s="22"/>
      <c r="G738" s="22"/>
      <c r="H738" s="22"/>
      <c r="I738" s="22"/>
      <c r="J738" s="22"/>
      <c r="K738" s="22"/>
      <c r="L738" s="22"/>
      <c r="M738" s="22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22"/>
      <c r="AA738" s="22"/>
      <c r="AB738" s="4"/>
      <c r="AC738" s="4"/>
      <c r="AD738" s="22"/>
      <c r="AE738" s="22"/>
      <c r="AF738" s="22"/>
      <c r="AG738" s="22"/>
      <c r="AH738" s="20">
        <f>21.67965+39.3484</f>
        <v>61.02804999999999</v>
      </c>
      <c r="AI738" s="4">
        <v>39.3484</v>
      </c>
      <c r="AJ738" s="22">
        <v>21.67965</v>
      </c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4"/>
      <c r="BA738" s="4"/>
      <c r="BB738" s="4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4"/>
      <c r="BP738" s="4"/>
      <c r="BQ738" s="4"/>
      <c r="BR738" s="4"/>
      <c r="BS738" s="4"/>
      <c r="BT738" s="22"/>
      <c r="BU738" s="24"/>
    </row>
    <row r="739" spans="1:74" s="35" customFormat="1" ht="73.5" customHeight="1" outlineLevel="1">
      <c r="A739" s="76" t="s">
        <v>76</v>
      </c>
      <c r="B739" s="77"/>
      <c r="C739" s="32">
        <f aca="true" t="shared" si="121" ref="C739:BN739">SUBTOTAL(9,C724:C738)</f>
        <v>29898.26584</v>
      </c>
      <c r="D739" s="32">
        <f t="shared" si="121"/>
        <v>8851.818609999998</v>
      </c>
      <c r="E739" s="32">
        <f t="shared" si="121"/>
        <v>21046.44723</v>
      </c>
      <c r="F739" s="32">
        <f t="shared" si="121"/>
        <v>0</v>
      </c>
      <c r="G739" s="32">
        <f t="shared" si="121"/>
        <v>0</v>
      </c>
      <c r="H739" s="32">
        <f t="shared" si="121"/>
        <v>0</v>
      </c>
      <c r="I739" s="32">
        <f t="shared" si="121"/>
        <v>0</v>
      </c>
      <c r="J739" s="32">
        <f t="shared" si="121"/>
        <v>29.91185</v>
      </c>
      <c r="K739" s="32">
        <f t="shared" si="121"/>
        <v>7.05037</v>
      </c>
      <c r="L739" s="32">
        <f t="shared" si="121"/>
        <v>1878.96639</v>
      </c>
      <c r="M739" s="32">
        <f t="shared" si="121"/>
        <v>3913.0431</v>
      </c>
      <c r="N739" s="32">
        <f t="shared" si="121"/>
        <v>0</v>
      </c>
      <c r="O739" s="32">
        <f t="shared" si="121"/>
        <v>0</v>
      </c>
      <c r="P739" s="32">
        <f t="shared" si="121"/>
        <v>0</v>
      </c>
      <c r="Q739" s="32">
        <f t="shared" si="121"/>
        <v>0</v>
      </c>
      <c r="R739" s="32">
        <f t="shared" si="121"/>
        <v>0</v>
      </c>
      <c r="S739" s="32">
        <f t="shared" si="121"/>
        <v>0</v>
      </c>
      <c r="T739" s="32">
        <f t="shared" si="121"/>
        <v>0</v>
      </c>
      <c r="U739" s="32">
        <f t="shared" si="121"/>
        <v>0</v>
      </c>
      <c r="V739" s="32">
        <f t="shared" si="121"/>
        <v>0</v>
      </c>
      <c r="W739" s="32">
        <f t="shared" si="121"/>
        <v>0</v>
      </c>
      <c r="X739" s="32">
        <f t="shared" si="121"/>
        <v>0</v>
      </c>
      <c r="Y739" s="32">
        <f t="shared" si="121"/>
        <v>0</v>
      </c>
      <c r="Z739" s="32">
        <f t="shared" si="121"/>
        <v>277.39295</v>
      </c>
      <c r="AA739" s="32">
        <f t="shared" si="121"/>
        <v>335.097</v>
      </c>
      <c r="AB739" s="32">
        <f t="shared" si="121"/>
        <v>2667.0453</v>
      </c>
      <c r="AC739" s="32">
        <f t="shared" si="121"/>
        <v>1677.9661199999998</v>
      </c>
      <c r="AD739" s="32">
        <f t="shared" si="121"/>
        <v>0</v>
      </c>
      <c r="AE739" s="32">
        <f t="shared" si="121"/>
        <v>0</v>
      </c>
      <c r="AF739" s="32">
        <f t="shared" si="121"/>
        <v>0</v>
      </c>
      <c r="AG739" s="32">
        <f t="shared" si="121"/>
        <v>0</v>
      </c>
      <c r="AH739" s="32">
        <f t="shared" si="121"/>
        <v>1097.52454</v>
      </c>
      <c r="AI739" s="32">
        <f t="shared" si="121"/>
        <v>645.00915</v>
      </c>
      <c r="AJ739" s="32">
        <f t="shared" si="121"/>
        <v>452.5153899999999</v>
      </c>
      <c r="AK739" s="32">
        <f t="shared" si="121"/>
        <v>0</v>
      </c>
      <c r="AL739" s="32">
        <f t="shared" si="121"/>
        <v>56.875780000000006</v>
      </c>
      <c r="AM739" s="32">
        <f t="shared" si="121"/>
        <v>0</v>
      </c>
      <c r="AN739" s="32">
        <f t="shared" si="121"/>
        <v>0</v>
      </c>
      <c r="AO739" s="32">
        <f>SUBTOTAL(9,AO724:AO738)</f>
        <v>0</v>
      </c>
      <c r="AP739" s="32">
        <f>SUBTOTAL(9,AP724:AP738)</f>
        <v>0</v>
      </c>
      <c r="AQ739" s="32">
        <f t="shared" si="121"/>
        <v>0</v>
      </c>
      <c r="AR739" s="32">
        <f t="shared" si="121"/>
        <v>0</v>
      </c>
      <c r="AS739" s="32">
        <f t="shared" si="121"/>
        <v>0</v>
      </c>
      <c r="AT739" s="32">
        <f t="shared" si="121"/>
        <v>0</v>
      </c>
      <c r="AU739" s="32">
        <f t="shared" si="121"/>
        <v>0</v>
      </c>
      <c r="AV739" s="32">
        <f t="shared" si="121"/>
        <v>0</v>
      </c>
      <c r="AW739" s="32">
        <f t="shared" si="121"/>
        <v>0</v>
      </c>
      <c r="AX739" s="32">
        <f t="shared" si="121"/>
        <v>0</v>
      </c>
      <c r="AY739" s="32">
        <f t="shared" si="121"/>
        <v>209.73684</v>
      </c>
      <c r="AZ739" s="32">
        <f t="shared" si="121"/>
        <v>185.13871999999998</v>
      </c>
      <c r="BA739" s="32">
        <f t="shared" si="121"/>
        <v>0</v>
      </c>
      <c r="BB739" s="32">
        <f t="shared" si="121"/>
        <v>0</v>
      </c>
      <c r="BC739" s="32">
        <f t="shared" si="121"/>
        <v>0</v>
      </c>
      <c r="BD739" s="32">
        <f t="shared" si="121"/>
        <v>383.46945</v>
      </c>
      <c r="BE739" s="32">
        <f t="shared" si="121"/>
        <v>2053.3192</v>
      </c>
      <c r="BF739" s="32">
        <f t="shared" si="121"/>
        <v>4167.73167</v>
      </c>
      <c r="BG739" s="32">
        <f t="shared" si="121"/>
        <v>2605.5265600000002</v>
      </c>
      <c r="BH739" s="32">
        <f t="shared" si="121"/>
        <v>0</v>
      </c>
      <c r="BI739" s="32">
        <f t="shared" si="121"/>
        <v>0</v>
      </c>
      <c r="BJ739" s="32">
        <f t="shared" si="121"/>
        <v>0</v>
      </c>
      <c r="BK739" s="32">
        <f t="shared" si="121"/>
        <v>0</v>
      </c>
      <c r="BL739" s="32">
        <f t="shared" si="121"/>
        <v>0</v>
      </c>
      <c r="BM739" s="32">
        <f t="shared" si="121"/>
        <v>2386.37</v>
      </c>
      <c r="BN739" s="32">
        <f t="shared" si="121"/>
        <v>0</v>
      </c>
      <c r="BO739" s="32">
        <f aca="true" t="shared" si="122" ref="BO739:BT739">SUBTOTAL(9,BO724:BO738)</f>
        <v>1500</v>
      </c>
      <c r="BP739" s="32">
        <f t="shared" si="122"/>
        <v>4466.1</v>
      </c>
      <c r="BQ739" s="32">
        <f>SUBTOTAL(9,BQ724:BQ738)</f>
        <v>0</v>
      </c>
      <c r="BR739" s="32">
        <f>SUBTOTAL(9,BR724:BR738)</f>
        <v>0</v>
      </c>
      <c r="BS739" s="32">
        <f t="shared" si="122"/>
        <v>0</v>
      </c>
      <c r="BT739" s="32">
        <f t="shared" si="122"/>
        <v>0</v>
      </c>
      <c r="BU739" s="33"/>
      <c r="BV739" s="34"/>
    </row>
    <row r="740" spans="1:74" s="66" customFormat="1" ht="73.5" customHeight="1" outlineLevel="2">
      <c r="A740" s="46" t="s">
        <v>185</v>
      </c>
      <c r="B740" s="45" t="s">
        <v>206</v>
      </c>
      <c r="C740" s="2">
        <f>D740+E740</f>
        <v>18095.654329999998</v>
      </c>
      <c r="D740" s="1">
        <f aca="true" t="shared" si="123" ref="D740:D800">F740+J740+N740+R740+T740+Z740+AB740+AD740+AF740+AM740+AO740+AT740+AY740+BF740+BO740+BS740+H740+V740+X740+BQ740+AR740+BH740</f>
        <v>5322.69981</v>
      </c>
      <c r="E740" s="1">
        <f aca="true" t="shared" si="124" ref="E740:E800">G740+I740+K740+L740+M740+O740+P740+Q740+S740+U740+W740+Y740+AA740+AC740+AE740+AG740+AH740+AK740+AL740+AN740+AP740+AQ740+AS740+AU740+AV740+AW740+AX740+AZ740+BA740+BB740+BC740+BD740+BE740+BG740+BI740+BJ740+BK740+BL740+BM740+BN740+BU740+BP740+BR740+BT740</f>
        <v>12772.95452</v>
      </c>
      <c r="F740" s="22"/>
      <c r="G740" s="22"/>
      <c r="H740" s="22"/>
      <c r="I740" s="22"/>
      <c r="J740" s="22">
        <v>427.59136</v>
      </c>
      <c r="K740" s="22">
        <v>205.61944</v>
      </c>
      <c r="L740" s="22">
        <v>308.1546</v>
      </c>
      <c r="M740" s="22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22">
        <v>180</v>
      </c>
      <c r="AA740" s="22">
        <v>156.249</v>
      </c>
      <c r="AB740" s="23">
        <v>1750.34453</v>
      </c>
      <c r="AC740" s="4">
        <v>582.7283</v>
      </c>
      <c r="AD740" s="22"/>
      <c r="AE740" s="22"/>
      <c r="AF740" s="22"/>
      <c r="AG740" s="22"/>
      <c r="AH740" s="20">
        <f>390.2337+394.28775</f>
        <v>784.52145</v>
      </c>
      <c r="AI740" s="4">
        <v>394.28775</v>
      </c>
      <c r="AJ740" s="22">
        <v>390.2337</v>
      </c>
      <c r="AK740" s="22"/>
      <c r="AL740" s="22"/>
      <c r="AM740" s="22"/>
      <c r="AN740" s="22"/>
      <c r="AO740" s="22"/>
      <c r="AP740" s="22"/>
      <c r="AQ740" s="22"/>
      <c r="AR740" s="22"/>
      <c r="AS740" s="22"/>
      <c r="AT740" s="22">
        <v>538.30018</v>
      </c>
      <c r="AU740" s="22">
        <v>1225</v>
      </c>
      <c r="AV740" s="22"/>
      <c r="AW740" s="22">
        <v>542.984</v>
      </c>
      <c r="AX740" s="22">
        <v>3120</v>
      </c>
      <c r="AY740" s="22"/>
      <c r="AZ740" s="4"/>
      <c r="BA740" s="4"/>
      <c r="BB740" s="4"/>
      <c r="BC740" s="22"/>
      <c r="BD740" s="22"/>
      <c r="BE740" s="22">
        <v>3956.4503</v>
      </c>
      <c r="BF740" s="22">
        <f>2432.06444-5.6007</f>
        <v>2426.46374</v>
      </c>
      <c r="BG740" s="22">
        <f>1518.13413-3.5169</f>
        <v>1514.6172299999998</v>
      </c>
      <c r="BH740" s="22"/>
      <c r="BI740" s="22"/>
      <c r="BJ740" s="22">
        <v>376.6302</v>
      </c>
      <c r="BK740" s="22"/>
      <c r="BL740" s="22"/>
      <c r="BM740" s="22"/>
      <c r="BN740" s="22"/>
      <c r="BO740" s="4"/>
      <c r="BP740" s="4"/>
      <c r="BQ740" s="4"/>
      <c r="BR740" s="4"/>
      <c r="BS740" s="4"/>
      <c r="BT740" s="22"/>
      <c r="BU740" s="24"/>
      <c r="BV740" s="65"/>
    </row>
    <row r="741" spans="1:73" ht="73.5" customHeight="1" outlineLevel="2">
      <c r="A741" s="46" t="s">
        <v>185</v>
      </c>
      <c r="B741" s="45" t="s">
        <v>459</v>
      </c>
      <c r="C741" s="2">
        <f aca="true" t="shared" si="125" ref="C741:C800">D741+E741</f>
        <v>5276.5564699999995</v>
      </c>
      <c r="D741" s="1">
        <f t="shared" si="123"/>
        <v>3093.1319599999997</v>
      </c>
      <c r="E741" s="1">
        <f t="shared" si="124"/>
        <v>2183.42451</v>
      </c>
      <c r="F741" s="22"/>
      <c r="G741" s="22"/>
      <c r="H741" s="22"/>
      <c r="I741" s="22"/>
      <c r="J741" s="22"/>
      <c r="K741" s="22"/>
      <c r="L741" s="22"/>
      <c r="M741" s="22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22">
        <v>184.5</v>
      </c>
      <c r="AA741" s="22">
        <v>97.8885</v>
      </c>
      <c r="AB741" s="23">
        <v>1080.90084</v>
      </c>
      <c r="AC741" s="4">
        <v>466.18264</v>
      </c>
      <c r="AD741" s="22"/>
      <c r="AE741" s="22"/>
      <c r="AF741" s="22"/>
      <c r="AG741" s="22"/>
      <c r="AH741" s="20">
        <f>109.78702+350.06235</f>
        <v>459.84936999999996</v>
      </c>
      <c r="AI741" s="4">
        <v>350.06235</v>
      </c>
      <c r="AJ741" s="22">
        <v>109.78702</v>
      </c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4">
        <v>18.42048</v>
      </c>
      <c r="BA741" s="4"/>
      <c r="BB741" s="4"/>
      <c r="BC741" s="22"/>
      <c r="BD741" s="22"/>
      <c r="BE741" s="22"/>
      <c r="BF741" s="22">
        <f>1915.8488-88.11768</f>
        <v>1827.73112</v>
      </c>
      <c r="BG741" s="22">
        <f>1196.41608-55.33256</f>
        <v>1141.08352</v>
      </c>
      <c r="BH741" s="22"/>
      <c r="BI741" s="22"/>
      <c r="BJ741" s="22"/>
      <c r="BK741" s="22"/>
      <c r="BL741" s="22"/>
      <c r="BM741" s="22"/>
      <c r="BN741" s="22"/>
      <c r="BO741" s="4"/>
      <c r="BP741" s="4"/>
      <c r="BQ741" s="4"/>
      <c r="BR741" s="4"/>
      <c r="BS741" s="4"/>
      <c r="BT741" s="22"/>
      <c r="BU741" s="24"/>
    </row>
    <row r="742" spans="1:73" ht="73.5" customHeight="1" outlineLevel="2">
      <c r="A742" s="46" t="s">
        <v>185</v>
      </c>
      <c r="B742" s="45" t="s">
        <v>551</v>
      </c>
      <c r="C742" s="2">
        <f t="shared" si="125"/>
        <v>105306.38544</v>
      </c>
      <c r="D742" s="1">
        <f t="shared" si="123"/>
        <v>34829.77579</v>
      </c>
      <c r="E742" s="1">
        <f t="shared" si="124"/>
        <v>70476.60965</v>
      </c>
      <c r="F742" s="22"/>
      <c r="G742" s="22"/>
      <c r="H742" s="22">
        <v>3478.84158</v>
      </c>
      <c r="I742" s="22">
        <v>2805.27379</v>
      </c>
      <c r="J742" s="22">
        <v>1721.07647</v>
      </c>
      <c r="K742" s="22">
        <v>1016.57789</v>
      </c>
      <c r="L742" s="22">
        <v>289.35125</v>
      </c>
      <c r="M742" s="22">
        <v>34192.8768</v>
      </c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22">
        <v>173.75789</v>
      </c>
      <c r="AA742" s="22">
        <v>362.2185</v>
      </c>
      <c r="AB742" s="23">
        <v>2315.99933</v>
      </c>
      <c r="AC742" s="4">
        <v>1148.44093</v>
      </c>
      <c r="AD742" s="22"/>
      <c r="AE742" s="22"/>
      <c r="AF742" s="22"/>
      <c r="AG742" s="22"/>
      <c r="AH742" s="20">
        <f>935.08956+125.2602+1265.69285</f>
        <v>2326.04261</v>
      </c>
      <c r="AI742" s="4">
        <v>1265.69285</v>
      </c>
      <c r="AJ742" s="22">
        <v>1060.34976</v>
      </c>
      <c r="AK742" s="22"/>
      <c r="AL742" s="22"/>
      <c r="AM742" s="22">
        <v>7825.788</v>
      </c>
      <c r="AN742" s="22">
        <v>2633.904</v>
      </c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>
        <v>11195.38238</v>
      </c>
      <c r="AZ742" s="4">
        <v>8851.54478</v>
      </c>
      <c r="BA742" s="4"/>
      <c r="BB742" s="4"/>
      <c r="BC742" s="22"/>
      <c r="BD742" s="22"/>
      <c r="BE742" s="22">
        <v>11596.15051</v>
      </c>
      <c r="BF742" s="22">
        <v>8118.93014</v>
      </c>
      <c r="BG742" s="22">
        <f>4859.52072+207.18384</f>
        <v>5066.70456</v>
      </c>
      <c r="BH742" s="22"/>
      <c r="BI742" s="22"/>
      <c r="BJ742" s="22">
        <v>187.52403</v>
      </c>
      <c r="BK742" s="22"/>
      <c r="BL742" s="22"/>
      <c r="BM742" s="22"/>
      <c r="BN742" s="22"/>
      <c r="BO742" s="4"/>
      <c r="BP742" s="4"/>
      <c r="BQ742" s="4"/>
      <c r="BR742" s="4"/>
      <c r="BS742" s="4"/>
      <c r="BT742" s="22"/>
      <c r="BU742" s="24"/>
    </row>
    <row r="743" spans="1:73" ht="73.5" customHeight="1" outlineLevel="2">
      <c r="A743" s="26" t="s">
        <v>185</v>
      </c>
      <c r="B743" s="27" t="s">
        <v>233</v>
      </c>
      <c r="C743" s="2">
        <f t="shared" si="125"/>
        <v>869.97749</v>
      </c>
      <c r="D743" s="1">
        <f t="shared" si="123"/>
        <v>462.07448999999997</v>
      </c>
      <c r="E743" s="1">
        <f t="shared" si="124"/>
        <v>407.903</v>
      </c>
      <c r="F743" s="22"/>
      <c r="G743" s="22"/>
      <c r="H743" s="22"/>
      <c r="I743" s="22"/>
      <c r="J743" s="22"/>
      <c r="K743" s="22"/>
      <c r="L743" s="22"/>
      <c r="M743" s="22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22">
        <v>45</v>
      </c>
      <c r="AA743" s="22">
        <v>23.895</v>
      </c>
      <c r="AB743" s="23">
        <v>160.27923</v>
      </c>
      <c r="AC743" s="4">
        <v>83.91287</v>
      </c>
      <c r="AD743" s="22"/>
      <c r="AE743" s="22"/>
      <c r="AF743" s="22"/>
      <c r="AG743" s="22"/>
      <c r="AH743" s="20">
        <f>44.16517+5.40798+89.9392</f>
        <v>139.51235</v>
      </c>
      <c r="AI743" s="4">
        <v>89.9392</v>
      </c>
      <c r="AJ743" s="22">
        <v>49.57315</v>
      </c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4"/>
      <c r="BA743" s="4"/>
      <c r="BB743" s="4"/>
      <c r="BC743" s="22"/>
      <c r="BD743" s="22"/>
      <c r="BE743" s="22"/>
      <c r="BF743" s="22">
        <v>256.79526</v>
      </c>
      <c r="BG743" s="22">
        <v>160.58278</v>
      </c>
      <c r="BH743" s="22"/>
      <c r="BI743" s="22"/>
      <c r="BJ743" s="22"/>
      <c r="BK743" s="22"/>
      <c r="BL743" s="22"/>
      <c r="BM743" s="22"/>
      <c r="BN743" s="22"/>
      <c r="BO743" s="4"/>
      <c r="BP743" s="4"/>
      <c r="BQ743" s="4"/>
      <c r="BR743" s="4"/>
      <c r="BS743" s="4"/>
      <c r="BT743" s="22"/>
      <c r="BU743" s="24"/>
    </row>
    <row r="744" spans="1:73" ht="73.5" customHeight="1" outlineLevel="2">
      <c r="A744" s="46" t="s">
        <v>185</v>
      </c>
      <c r="B744" s="45" t="s">
        <v>207</v>
      </c>
      <c r="C744" s="39">
        <f t="shared" si="125"/>
        <v>2229.44874</v>
      </c>
      <c r="D744" s="1">
        <f t="shared" si="123"/>
        <v>190.35327</v>
      </c>
      <c r="E744" s="1">
        <f t="shared" si="124"/>
        <v>2039.09547</v>
      </c>
      <c r="F744" s="22"/>
      <c r="G744" s="22"/>
      <c r="H744" s="22"/>
      <c r="I744" s="22"/>
      <c r="J744" s="22"/>
      <c r="K744" s="22"/>
      <c r="L744" s="22">
        <v>1764.26636</v>
      </c>
      <c r="M744" s="22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22"/>
      <c r="AA744" s="22"/>
      <c r="AB744" s="23"/>
      <c r="AC744" s="4"/>
      <c r="AD744" s="22"/>
      <c r="AE744" s="22"/>
      <c r="AF744" s="22"/>
      <c r="AG744" s="22"/>
      <c r="AH744" s="20"/>
      <c r="AI744" s="4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4"/>
      <c r="BA744" s="4"/>
      <c r="BB744" s="4"/>
      <c r="BC744" s="22"/>
      <c r="BD744" s="22"/>
      <c r="BE744" s="22">
        <v>133.01516</v>
      </c>
      <c r="BF744" s="22">
        <v>190.35327</v>
      </c>
      <c r="BG744" s="22">
        <v>119.62115</v>
      </c>
      <c r="BH744" s="22"/>
      <c r="BI744" s="22"/>
      <c r="BJ744" s="22">
        <v>22.1928</v>
      </c>
      <c r="BK744" s="22"/>
      <c r="BL744" s="22"/>
      <c r="BM744" s="22"/>
      <c r="BN744" s="22"/>
      <c r="BO744" s="4"/>
      <c r="BP744" s="4"/>
      <c r="BQ744" s="4"/>
      <c r="BR744" s="4"/>
      <c r="BS744" s="4"/>
      <c r="BT744" s="22"/>
      <c r="BU744" s="24"/>
    </row>
    <row r="745" spans="1:73" ht="73.5" customHeight="1" outlineLevel="2">
      <c r="A745" s="46" t="s">
        <v>185</v>
      </c>
      <c r="B745" s="45" t="s">
        <v>208</v>
      </c>
      <c r="C745" s="39">
        <f t="shared" si="125"/>
        <v>2436.88996</v>
      </c>
      <c r="D745" s="1">
        <f t="shared" si="123"/>
        <v>1321.7610399999999</v>
      </c>
      <c r="E745" s="1">
        <f t="shared" si="124"/>
        <v>1115.12892</v>
      </c>
      <c r="F745" s="22"/>
      <c r="G745" s="22"/>
      <c r="H745" s="22"/>
      <c r="I745" s="22"/>
      <c r="J745" s="22">
        <v>174.17763</v>
      </c>
      <c r="K745" s="22">
        <v>18.87023</v>
      </c>
      <c r="L745" s="22"/>
      <c r="M745" s="22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22">
        <v>17.37579</v>
      </c>
      <c r="AA745" s="22">
        <v>38.232</v>
      </c>
      <c r="AB745" s="23">
        <v>540.74025</v>
      </c>
      <c r="AC745" s="4">
        <v>229.59495</v>
      </c>
      <c r="AD745" s="22"/>
      <c r="AE745" s="22"/>
      <c r="AF745" s="22"/>
      <c r="AG745" s="22"/>
      <c r="AH745" s="20">
        <f>113.56758+16.86195+129.67955</f>
        <v>260.10908</v>
      </c>
      <c r="AI745" s="4">
        <v>129.67955</v>
      </c>
      <c r="AJ745" s="22">
        <v>130.42953</v>
      </c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>
        <v>199.68</v>
      </c>
      <c r="AY745" s="22"/>
      <c r="AZ745" s="4"/>
      <c r="BA745" s="4"/>
      <c r="BB745" s="4"/>
      <c r="BC745" s="22"/>
      <c r="BD745" s="22"/>
      <c r="BE745" s="22"/>
      <c r="BF745" s="22">
        <v>589.46737</v>
      </c>
      <c r="BG745" s="22">
        <v>368.64266</v>
      </c>
      <c r="BH745" s="22"/>
      <c r="BI745" s="22"/>
      <c r="BJ745" s="22"/>
      <c r="BK745" s="22"/>
      <c r="BL745" s="22"/>
      <c r="BM745" s="22"/>
      <c r="BN745" s="22"/>
      <c r="BO745" s="4"/>
      <c r="BP745" s="4"/>
      <c r="BQ745" s="4"/>
      <c r="BR745" s="4"/>
      <c r="BS745" s="4"/>
      <c r="BT745" s="22"/>
      <c r="BU745" s="24"/>
    </row>
    <row r="746" spans="1:73" ht="73.5" customHeight="1" outlineLevel="2">
      <c r="A746" s="46" t="s">
        <v>185</v>
      </c>
      <c r="B746" s="45" t="s">
        <v>214</v>
      </c>
      <c r="C746" s="39">
        <f t="shared" si="125"/>
        <v>883.49784</v>
      </c>
      <c r="D746" s="1">
        <f t="shared" si="123"/>
        <v>520.82947</v>
      </c>
      <c r="E746" s="1">
        <f t="shared" si="124"/>
        <v>362.66837000000004</v>
      </c>
      <c r="F746" s="22"/>
      <c r="G746" s="22"/>
      <c r="H746" s="22"/>
      <c r="I746" s="22"/>
      <c r="J746" s="22"/>
      <c r="K746" s="22"/>
      <c r="L746" s="22"/>
      <c r="M746" s="22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22">
        <v>288</v>
      </c>
      <c r="AA746" s="22">
        <v>190.9575</v>
      </c>
      <c r="AB746" s="23">
        <v>86.41792</v>
      </c>
      <c r="AC746" s="4">
        <v>38.46007</v>
      </c>
      <c r="AD746" s="22"/>
      <c r="AE746" s="22"/>
      <c r="AF746" s="22"/>
      <c r="AG746" s="22"/>
      <c r="AH746" s="20">
        <f>19.2708+22.4848</f>
        <v>41.7556</v>
      </c>
      <c r="AI746" s="4">
        <v>22.4848</v>
      </c>
      <c r="AJ746" s="22">
        <v>19.2708</v>
      </c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4"/>
      <c r="BA746" s="4"/>
      <c r="BB746" s="4"/>
      <c r="BC746" s="22"/>
      <c r="BD746" s="22"/>
      <c r="BE746" s="22"/>
      <c r="BF746" s="22">
        <v>146.41155</v>
      </c>
      <c r="BG746" s="22">
        <v>91.4952</v>
      </c>
      <c r="BH746" s="22"/>
      <c r="BI746" s="22"/>
      <c r="BJ746" s="22"/>
      <c r="BK746" s="22"/>
      <c r="BL746" s="22"/>
      <c r="BM746" s="22"/>
      <c r="BN746" s="22"/>
      <c r="BO746" s="4"/>
      <c r="BP746" s="4"/>
      <c r="BQ746" s="4"/>
      <c r="BR746" s="4"/>
      <c r="BS746" s="4"/>
      <c r="BT746" s="22"/>
      <c r="BU746" s="24"/>
    </row>
    <row r="747" spans="1:73" ht="73.5" customHeight="1" outlineLevel="2">
      <c r="A747" s="44" t="s">
        <v>185</v>
      </c>
      <c r="B747" s="26" t="s">
        <v>398</v>
      </c>
      <c r="C747" s="39">
        <f t="shared" si="125"/>
        <v>2198.1771400000002</v>
      </c>
      <c r="D747" s="1">
        <f t="shared" si="123"/>
        <v>666.4745800000001</v>
      </c>
      <c r="E747" s="1">
        <f t="shared" si="124"/>
        <v>1531.7025600000002</v>
      </c>
      <c r="F747" s="22"/>
      <c r="G747" s="22"/>
      <c r="H747" s="22"/>
      <c r="I747" s="22"/>
      <c r="J747" s="22"/>
      <c r="K747" s="22"/>
      <c r="L747" s="22"/>
      <c r="M747" s="22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22">
        <v>49.5</v>
      </c>
      <c r="AA747" s="22">
        <v>26.2845</v>
      </c>
      <c r="AB747" s="23">
        <v>224.32955</v>
      </c>
      <c r="AC747" s="4">
        <v>90.20634</v>
      </c>
      <c r="AD747" s="22"/>
      <c r="AE747" s="22"/>
      <c r="AF747" s="22"/>
      <c r="AG747" s="22"/>
      <c r="AH747" s="20">
        <f>63.0931+85.45415</f>
        <v>148.54725</v>
      </c>
      <c r="AI747" s="4">
        <v>85.45415</v>
      </c>
      <c r="AJ747" s="22">
        <v>63.0931</v>
      </c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4"/>
      <c r="BA747" s="4"/>
      <c r="BB747" s="4"/>
      <c r="BC747" s="22"/>
      <c r="BD747" s="22"/>
      <c r="BE747" s="22">
        <v>1021.54959</v>
      </c>
      <c r="BF747" s="22">
        <v>392.64503</v>
      </c>
      <c r="BG747" s="22">
        <v>245.11488</v>
      </c>
      <c r="BH747" s="22"/>
      <c r="BI747" s="22"/>
      <c r="BJ747" s="22"/>
      <c r="BK747" s="22"/>
      <c r="BL747" s="22"/>
      <c r="BM747" s="22"/>
      <c r="BN747" s="22"/>
      <c r="BO747" s="4"/>
      <c r="BP747" s="4"/>
      <c r="BQ747" s="4"/>
      <c r="BR747" s="4"/>
      <c r="BS747" s="4"/>
      <c r="BT747" s="22"/>
      <c r="BU747" s="24"/>
    </row>
    <row r="748" spans="1:73" ht="73.5" customHeight="1" outlineLevel="2">
      <c r="A748" s="44" t="s">
        <v>185</v>
      </c>
      <c r="B748" s="26" t="s">
        <v>753</v>
      </c>
      <c r="C748" s="39">
        <f t="shared" si="125"/>
        <v>1129.62603</v>
      </c>
      <c r="D748" s="1">
        <f t="shared" si="123"/>
        <v>738.08254</v>
      </c>
      <c r="E748" s="1">
        <f t="shared" si="124"/>
        <v>391.54349</v>
      </c>
      <c r="F748" s="22"/>
      <c r="G748" s="22"/>
      <c r="H748" s="22"/>
      <c r="I748" s="22"/>
      <c r="J748" s="22"/>
      <c r="K748" s="22"/>
      <c r="L748" s="22"/>
      <c r="M748" s="22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22">
        <v>54</v>
      </c>
      <c r="AA748" s="22">
        <v>27.459</v>
      </c>
      <c r="AB748" s="23">
        <v>300.04132</v>
      </c>
      <c r="AC748" s="4">
        <v>123.77149</v>
      </c>
      <c r="AD748" s="22"/>
      <c r="AE748" s="22"/>
      <c r="AF748" s="22"/>
      <c r="AG748" s="22"/>
      <c r="AH748" s="20"/>
      <c r="AI748" s="4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4"/>
      <c r="BA748" s="4"/>
      <c r="BB748" s="4"/>
      <c r="BC748" s="22"/>
      <c r="BD748" s="22"/>
      <c r="BE748" s="22"/>
      <c r="BF748" s="22">
        <v>384.04122</v>
      </c>
      <c r="BG748" s="22">
        <v>240.313</v>
      </c>
      <c r="BH748" s="22"/>
      <c r="BI748" s="22"/>
      <c r="BJ748" s="22"/>
      <c r="BK748" s="22"/>
      <c r="BL748" s="22"/>
      <c r="BM748" s="22"/>
      <c r="BN748" s="22"/>
      <c r="BO748" s="4"/>
      <c r="BP748" s="4"/>
      <c r="BQ748" s="4"/>
      <c r="BR748" s="4"/>
      <c r="BS748" s="4"/>
      <c r="BT748" s="22"/>
      <c r="BU748" s="24"/>
    </row>
    <row r="749" spans="1:73" ht="73.5" customHeight="1" outlineLevel="2">
      <c r="A749" s="46" t="s">
        <v>185</v>
      </c>
      <c r="B749" s="45" t="s">
        <v>543</v>
      </c>
      <c r="C749" s="39">
        <f t="shared" si="125"/>
        <v>2012.70941</v>
      </c>
      <c r="D749" s="1">
        <f t="shared" si="123"/>
        <v>637.99511</v>
      </c>
      <c r="E749" s="1">
        <f t="shared" si="124"/>
        <v>1374.7143</v>
      </c>
      <c r="F749" s="22"/>
      <c r="G749" s="22"/>
      <c r="H749" s="22"/>
      <c r="I749" s="22"/>
      <c r="J749" s="22"/>
      <c r="K749" s="22"/>
      <c r="L749" s="22"/>
      <c r="M749" s="22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22">
        <v>58.5</v>
      </c>
      <c r="AA749" s="22">
        <v>31.0635</v>
      </c>
      <c r="AB749" s="23">
        <v>232.29139</v>
      </c>
      <c r="AC749" s="4">
        <v>116.54566</v>
      </c>
      <c r="AD749" s="22"/>
      <c r="AE749" s="22"/>
      <c r="AF749" s="22"/>
      <c r="AG749" s="22"/>
      <c r="AH749" s="20">
        <f>50.47448+85.45415</f>
        <v>135.92863</v>
      </c>
      <c r="AI749" s="4">
        <v>85.45415</v>
      </c>
      <c r="AJ749" s="22">
        <v>50.47448</v>
      </c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>
        <v>873.6</v>
      </c>
      <c r="AY749" s="22"/>
      <c r="AZ749" s="4"/>
      <c r="BA749" s="4"/>
      <c r="BB749" s="4"/>
      <c r="BC749" s="22"/>
      <c r="BD749" s="22"/>
      <c r="BE749" s="22"/>
      <c r="BF749" s="22">
        <v>347.20372</v>
      </c>
      <c r="BG749" s="22">
        <v>217.57651</v>
      </c>
      <c r="BH749" s="22"/>
      <c r="BI749" s="22"/>
      <c r="BJ749" s="22"/>
      <c r="BK749" s="22"/>
      <c r="BL749" s="22"/>
      <c r="BM749" s="22"/>
      <c r="BN749" s="22"/>
      <c r="BO749" s="4"/>
      <c r="BP749" s="4"/>
      <c r="BQ749" s="4"/>
      <c r="BR749" s="4"/>
      <c r="BS749" s="4"/>
      <c r="BT749" s="22"/>
      <c r="BU749" s="24"/>
    </row>
    <row r="750" spans="1:73" ht="73.5" customHeight="1" outlineLevel="2">
      <c r="A750" s="46" t="s">
        <v>185</v>
      </c>
      <c r="B750" s="45" t="s">
        <v>216</v>
      </c>
      <c r="C750" s="39">
        <f t="shared" si="125"/>
        <v>38.5392</v>
      </c>
      <c r="D750" s="1">
        <f t="shared" si="123"/>
        <v>23.91115</v>
      </c>
      <c r="E750" s="1">
        <f t="shared" si="124"/>
        <v>14.62805</v>
      </c>
      <c r="F750" s="22"/>
      <c r="G750" s="22"/>
      <c r="H750" s="22"/>
      <c r="I750" s="22"/>
      <c r="J750" s="22"/>
      <c r="K750" s="22"/>
      <c r="L750" s="22"/>
      <c r="M750" s="22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22"/>
      <c r="AA750" s="22"/>
      <c r="AB750" s="23">
        <v>6.83174</v>
      </c>
      <c r="AC750" s="4">
        <v>3.96255</v>
      </c>
      <c r="AD750" s="22"/>
      <c r="AE750" s="22"/>
      <c r="AF750" s="22"/>
      <c r="AG750" s="22"/>
      <c r="AH750" s="20"/>
      <c r="AI750" s="4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4"/>
      <c r="BA750" s="4"/>
      <c r="BB750" s="4"/>
      <c r="BC750" s="22"/>
      <c r="BD750" s="22"/>
      <c r="BE750" s="22"/>
      <c r="BF750" s="22">
        <v>17.07941</v>
      </c>
      <c r="BG750" s="22">
        <v>10.6655</v>
      </c>
      <c r="BH750" s="22"/>
      <c r="BI750" s="22"/>
      <c r="BJ750" s="22"/>
      <c r="BK750" s="22"/>
      <c r="BL750" s="22"/>
      <c r="BM750" s="22"/>
      <c r="BN750" s="22"/>
      <c r="BO750" s="4"/>
      <c r="BP750" s="4"/>
      <c r="BQ750" s="4"/>
      <c r="BR750" s="4"/>
      <c r="BS750" s="4"/>
      <c r="BT750" s="22"/>
      <c r="BU750" s="24"/>
    </row>
    <row r="751" spans="1:73" ht="73.5" customHeight="1" outlineLevel="2">
      <c r="A751" s="46" t="s">
        <v>185</v>
      </c>
      <c r="B751" s="45" t="s">
        <v>982</v>
      </c>
      <c r="C751" s="39">
        <f t="shared" si="125"/>
        <v>57.278729999999996</v>
      </c>
      <c r="D751" s="1">
        <f t="shared" si="123"/>
        <v>36.14102</v>
      </c>
      <c r="E751" s="1">
        <f t="shared" si="124"/>
        <v>21.13771</v>
      </c>
      <c r="F751" s="22"/>
      <c r="G751" s="22"/>
      <c r="H751" s="22"/>
      <c r="I751" s="22"/>
      <c r="J751" s="22"/>
      <c r="K751" s="22"/>
      <c r="L751" s="22"/>
      <c r="M751" s="22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22"/>
      <c r="AA751" s="22"/>
      <c r="AB751" s="23">
        <v>14.59702</v>
      </c>
      <c r="AC751" s="28">
        <v>7.69201</v>
      </c>
      <c r="AD751" s="22"/>
      <c r="AE751" s="22"/>
      <c r="AF751" s="22"/>
      <c r="AG751" s="22"/>
      <c r="AH751" s="20"/>
      <c r="AI751" s="4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4"/>
      <c r="BA751" s="4"/>
      <c r="BB751" s="4"/>
      <c r="BC751" s="22"/>
      <c r="BD751" s="22"/>
      <c r="BE751" s="22"/>
      <c r="BF751" s="22">
        <v>21.544</v>
      </c>
      <c r="BG751" s="22">
        <v>13.4457</v>
      </c>
      <c r="BH751" s="22"/>
      <c r="BI751" s="22"/>
      <c r="BJ751" s="22"/>
      <c r="BK751" s="22"/>
      <c r="BL751" s="22"/>
      <c r="BM751" s="22"/>
      <c r="BN751" s="22"/>
      <c r="BO751" s="4"/>
      <c r="BP751" s="4"/>
      <c r="BQ751" s="4"/>
      <c r="BR751" s="4"/>
      <c r="BS751" s="4"/>
      <c r="BT751" s="22"/>
      <c r="BU751" s="24"/>
    </row>
    <row r="752" spans="1:73" ht="73.5" customHeight="1" outlineLevel="2">
      <c r="A752" s="46" t="s">
        <v>185</v>
      </c>
      <c r="B752" s="45" t="s">
        <v>983</v>
      </c>
      <c r="C752" s="39">
        <f t="shared" si="125"/>
        <v>377.98586</v>
      </c>
      <c r="D752" s="1">
        <f t="shared" si="123"/>
        <v>156.21996000000001</v>
      </c>
      <c r="E752" s="1">
        <f t="shared" si="124"/>
        <v>221.76590000000002</v>
      </c>
      <c r="F752" s="22"/>
      <c r="G752" s="22"/>
      <c r="H752" s="22"/>
      <c r="I752" s="22"/>
      <c r="J752" s="22"/>
      <c r="K752" s="22"/>
      <c r="L752" s="22">
        <v>131.46384</v>
      </c>
      <c r="M752" s="22"/>
      <c r="N752" s="4">
        <v>0.45337</v>
      </c>
      <c r="O752" s="4">
        <v>0.02296</v>
      </c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22"/>
      <c r="AA752" s="22"/>
      <c r="AB752" s="23">
        <v>59.4244</v>
      </c>
      <c r="AC752" s="4">
        <v>30.06878</v>
      </c>
      <c r="AD752" s="22"/>
      <c r="AE752" s="22"/>
      <c r="AF752" s="22"/>
      <c r="AG752" s="22"/>
      <c r="AH752" s="20"/>
      <c r="AI752" s="4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4"/>
      <c r="BA752" s="4"/>
      <c r="BB752" s="4"/>
      <c r="BC752" s="22"/>
      <c r="BD752" s="22"/>
      <c r="BE752" s="22"/>
      <c r="BF752" s="22">
        <v>96.34219</v>
      </c>
      <c r="BG752" s="22">
        <v>60.21032</v>
      </c>
      <c r="BH752" s="22"/>
      <c r="BI752" s="22"/>
      <c r="BJ752" s="22"/>
      <c r="BK752" s="22"/>
      <c r="BL752" s="22"/>
      <c r="BM752" s="22"/>
      <c r="BN752" s="22"/>
      <c r="BO752" s="4"/>
      <c r="BP752" s="4"/>
      <c r="BQ752" s="4"/>
      <c r="BR752" s="4"/>
      <c r="BS752" s="4"/>
      <c r="BT752" s="22"/>
      <c r="BU752" s="24"/>
    </row>
    <row r="753" spans="1:73" ht="73.5" customHeight="1" outlineLevel="2">
      <c r="A753" s="46" t="s">
        <v>185</v>
      </c>
      <c r="B753" s="45" t="s">
        <v>984</v>
      </c>
      <c r="C753" s="39">
        <f t="shared" si="125"/>
        <v>374.68484</v>
      </c>
      <c r="D753" s="1">
        <f t="shared" si="123"/>
        <v>259.54512</v>
      </c>
      <c r="E753" s="1">
        <f t="shared" si="124"/>
        <v>115.13972000000001</v>
      </c>
      <c r="F753" s="22"/>
      <c r="G753" s="22"/>
      <c r="H753" s="22"/>
      <c r="I753" s="22"/>
      <c r="J753" s="22">
        <v>112.76109</v>
      </c>
      <c r="K753" s="22">
        <v>29.10625</v>
      </c>
      <c r="L753" s="22"/>
      <c r="M753" s="22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22"/>
      <c r="AA753" s="22"/>
      <c r="AB753" s="23">
        <v>51.31304</v>
      </c>
      <c r="AC753" s="4">
        <v>26.33932</v>
      </c>
      <c r="AD753" s="22"/>
      <c r="AE753" s="22"/>
      <c r="AF753" s="22"/>
      <c r="AG753" s="22"/>
      <c r="AH753" s="20"/>
      <c r="AI753" s="4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4"/>
      <c r="BA753" s="4"/>
      <c r="BB753" s="4"/>
      <c r="BC753" s="22"/>
      <c r="BD753" s="22"/>
      <c r="BE753" s="22"/>
      <c r="BF753" s="22">
        <v>95.47099</v>
      </c>
      <c r="BG753" s="22">
        <v>59.69415</v>
      </c>
      <c r="BH753" s="22"/>
      <c r="BI753" s="22"/>
      <c r="BJ753" s="22"/>
      <c r="BK753" s="22"/>
      <c r="BL753" s="22"/>
      <c r="BM753" s="22"/>
      <c r="BN753" s="22"/>
      <c r="BO753" s="4"/>
      <c r="BP753" s="4"/>
      <c r="BQ753" s="4"/>
      <c r="BR753" s="4"/>
      <c r="BS753" s="4"/>
      <c r="BT753" s="22"/>
      <c r="BU753" s="24"/>
    </row>
    <row r="754" spans="1:73" ht="73.5" customHeight="1" outlineLevel="2">
      <c r="A754" s="44" t="s">
        <v>185</v>
      </c>
      <c r="B754" s="26" t="s">
        <v>985</v>
      </c>
      <c r="C754" s="39">
        <f t="shared" si="125"/>
        <v>2255.3218800000004</v>
      </c>
      <c r="D754" s="1">
        <f t="shared" si="123"/>
        <v>1561.8068600000001</v>
      </c>
      <c r="E754" s="1">
        <f t="shared" si="124"/>
        <v>693.51502</v>
      </c>
      <c r="F754" s="22"/>
      <c r="G754" s="22"/>
      <c r="H754" s="22"/>
      <c r="I754" s="22"/>
      <c r="J754" s="22">
        <v>270.38806</v>
      </c>
      <c r="K754" s="22">
        <v>153.98683</v>
      </c>
      <c r="L754" s="22"/>
      <c r="M754" s="22"/>
      <c r="N754" s="4">
        <f>158.26809+240.97302+3.41605</f>
        <v>402.65716</v>
      </c>
      <c r="O754" s="4">
        <f>0.1708+10.54904+7.57325</f>
        <v>18.29309</v>
      </c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22"/>
      <c r="AA754" s="22"/>
      <c r="AB754" s="23">
        <v>305.59037</v>
      </c>
      <c r="AC754" s="4">
        <v>157.33664</v>
      </c>
      <c r="AD754" s="22"/>
      <c r="AE754" s="22"/>
      <c r="AF754" s="22"/>
      <c r="AG754" s="22"/>
      <c r="AH754" s="20"/>
      <c r="AI754" s="4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4"/>
      <c r="BA754" s="4"/>
      <c r="BB754" s="4"/>
      <c r="BC754" s="22"/>
      <c r="BD754" s="22"/>
      <c r="BE754" s="22"/>
      <c r="BF754" s="22">
        <v>583.17127</v>
      </c>
      <c r="BG754" s="22">
        <v>363.89846</v>
      </c>
      <c r="BH754" s="22"/>
      <c r="BI754" s="22"/>
      <c r="BJ754" s="22"/>
      <c r="BK754" s="22"/>
      <c r="BL754" s="22"/>
      <c r="BM754" s="22"/>
      <c r="BN754" s="22"/>
      <c r="BO754" s="4"/>
      <c r="BP754" s="4"/>
      <c r="BQ754" s="4"/>
      <c r="BR754" s="4"/>
      <c r="BS754" s="4"/>
      <c r="BT754" s="22"/>
      <c r="BU754" s="24"/>
    </row>
    <row r="755" spans="1:73" ht="73.5" customHeight="1" outlineLevel="2">
      <c r="A755" s="44" t="s">
        <v>185</v>
      </c>
      <c r="B755" s="26" t="s">
        <v>215</v>
      </c>
      <c r="C755" s="39">
        <f t="shared" si="125"/>
        <v>110.47944</v>
      </c>
      <c r="D755" s="1">
        <f t="shared" si="123"/>
        <v>69.71763</v>
      </c>
      <c r="E755" s="1">
        <f t="shared" si="124"/>
        <v>40.76181</v>
      </c>
      <c r="F755" s="22"/>
      <c r="G755" s="22"/>
      <c r="H755" s="22"/>
      <c r="I755" s="22"/>
      <c r="J755" s="22"/>
      <c r="K755" s="22"/>
      <c r="L755" s="22"/>
      <c r="M755" s="22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22"/>
      <c r="AA755" s="22"/>
      <c r="AB755" s="23">
        <v>29.45378</v>
      </c>
      <c r="AC755" s="4">
        <v>15.61712</v>
      </c>
      <c r="AD755" s="22"/>
      <c r="AE755" s="22"/>
      <c r="AF755" s="22"/>
      <c r="AG755" s="22"/>
      <c r="AH755" s="20"/>
      <c r="AI755" s="4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4"/>
      <c r="BA755" s="4"/>
      <c r="BB755" s="4"/>
      <c r="BC755" s="22"/>
      <c r="BD755" s="22"/>
      <c r="BE755" s="22"/>
      <c r="BF755" s="22">
        <v>40.26385</v>
      </c>
      <c r="BG755" s="22">
        <v>25.14469</v>
      </c>
      <c r="BH755" s="22"/>
      <c r="BI755" s="22"/>
      <c r="BJ755" s="22"/>
      <c r="BK755" s="22"/>
      <c r="BL755" s="22"/>
      <c r="BM755" s="22"/>
      <c r="BN755" s="22"/>
      <c r="BO755" s="4"/>
      <c r="BP755" s="4"/>
      <c r="BQ755" s="4"/>
      <c r="BR755" s="4"/>
      <c r="BS755" s="4"/>
      <c r="BT755" s="22"/>
      <c r="BU755" s="24"/>
    </row>
    <row r="756" spans="1:73" ht="73.5" customHeight="1" outlineLevel="2">
      <c r="A756" s="44" t="s">
        <v>185</v>
      </c>
      <c r="B756" s="26" t="s">
        <v>809</v>
      </c>
      <c r="C756" s="39">
        <f>D756+E756</f>
        <v>2509.2</v>
      </c>
      <c r="D756" s="1">
        <f t="shared" si="123"/>
        <v>1500</v>
      </c>
      <c r="E756" s="1">
        <f t="shared" si="124"/>
        <v>1009.2</v>
      </c>
      <c r="F756" s="22"/>
      <c r="G756" s="22"/>
      <c r="H756" s="22"/>
      <c r="I756" s="22"/>
      <c r="J756" s="22"/>
      <c r="K756" s="22"/>
      <c r="L756" s="22"/>
      <c r="M756" s="22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22"/>
      <c r="AA756" s="22"/>
      <c r="AB756" s="23"/>
      <c r="AC756" s="4"/>
      <c r="AD756" s="22"/>
      <c r="AE756" s="22"/>
      <c r="AF756" s="22"/>
      <c r="AG756" s="22"/>
      <c r="AH756" s="20"/>
      <c r="AI756" s="4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4"/>
      <c r="BA756" s="4"/>
      <c r="BB756" s="4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4">
        <v>1500</v>
      </c>
      <c r="BP756" s="4">
        <v>1009.2</v>
      </c>
      <c r="BQ756" s="4"/>
      <c r="BR756" s="4"/>
      <c r="BS756" s="4"/>
      <c r="BT756" s="22"/>
      <c r="BU756" s="24"/>
    </row>
    <row r="757" spans="1:73" ht="73.5" customHeight="1" outlineLevel="2">
      <c r="A757" s="44" t="s">
        <v>185</v>
      </c>
      <c r="B757" s="26" t="s">
        <v>559</v>
      </c>
      <c r="C757" s="39">
        <f t="shared" si="125"/>
        <v>341.84</v>
      </c>
      <c r="D757" s="1">
        <f t="shared" si="123"/>
        <v>0</v>
      </c>
      <c r="E757" s="1">
        <f t="shared" si="124"/>
        <v>341.84</v>
      </c>
      <c r="F757" s="22"/>
      <c r="G757" s="22"/>
      <c r="H757" s="22"/>
      <c r="I757" s="22"/>
      <c r="J757" s="22"/>
      <c r="K757" s="22"/>
      <c r="L757" s="22"/>
      <c r="M757" s="22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22"/>
      <c r="AA757" s="22"/>
      <c r="AB757" s="23"/>
      <c r="AC757" s="4"/>
      <c r="AD757" s="22"/>
      <c r="AE757" s="22"/>
      <c r="AF757" s="22"/>
      <c r="AG757" s="22"/>
      <c r="AH757" s="20"/>
      <c r="AI757" s="4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>
        <v>42.32</v>
      </c>
      <c r="AX757" s="22">
        <v>299.52</v>
      </c>
      <c r="AY757" s="22"/>
      <c r="AZ757" s="4"/>
      <c r="BA757" s="4"/>
      <c r="BB757" s="4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4"/>
      <c r="BP757" s="4"/>
      <c r="BQ757" s="4"/>
      <c r="BR757" s="4"/>
      <c r="BS757" s="4"/>
      <c r="BT757" s="22"/>
      <c r="BU757" s="24"/>
    </row>
    <row r="758" spans="1:73" ht="73.5" customHeight="1" outlineLevel="2">
      <c r="A758" s="46" t="s">
        <v>185</v>
      </c>
      <c r="B758" s="45" t="s">
        <v>986</v>
      </c>
      <c r="C758" s="39">
        <f t="shared" si="125"/>
        <v>290.2136</v>
      </c>
      <c r="D758" s="1">
        <f t="shared" si="123"/>
        <v>219.85879999999997</v>
      </c>
      <c r="E758" s="1">
        <f t="shared" si="124"/>
        <v>70.3548</v>
      </c>
      <c r="F758" s="22"/>
      <c r="G758" s="22"/>
      <c r="H758" s="22"/>
      <c r="I758" s="22"/>
      <c r="J758" s="22">
        <v>36.34543</v>
      </c>
      <c r="K758" s="22">
        <v>7.80666</v>
      </c>
      <c r="L758" s="22"/>
      <c r="M758" s="22"/>
      <c r="N758" s="4">
        <f>48.81122+32.62902</f>
        <v>81.44023999999999</v>
      </c>
      <c r="O758" s="4">
        <f>2.14904+1.42854</f>
        <v>3.5775799999999998</v>
      </c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22"/>
      <c r="AA758" s="22"/>
      <c r="AB758" s="23">
        <v>35.67996</v>
      </c>
      <c r="AC758" s="4">
        <v>17.48185</v>
      </c>
      <c r="AD758" s="22"/>
      <c r="AE758" s="22"/>
      <c r="AF758" s="22"/>
      <c r="AG758" s="22"/>
      <c r="AH758" s="20"/>
      <c r="AI758" s="4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4"/>
      <c r="BA758" s="4"/>
      <c r="BB758" s="4"/>
      <c r="BC758" s="22"/>
      <c r="BD758" s="22"/>
      <c r="BE758" s="22"/>
      <c r="BF758" s="22">
        <v>66.39317</v>
      </c>
      <c r="BG758" s="22">
        <v>41.48871</v>
      </c>
      <c r="BH758" s="22"/>
      <c r="BI758" s="22"/>
      <c r="BJ758" s="22"/>
      <c r="BK758" s="22"/>
      <c r="BL758" s="22"/>
      <c r="BM758" s="22"/>
      <c r="BN758" s="22"/>
      <c r="BO758" s="4"/>
      <c r="BP758" s="4"/>
      <c r="BQ758" s="4"/>
      <c r="BR758" s="4"/>
      <c r="BS758" s="4"/>
      <c r="BT758" s="22"/>
      <c r="BU758" s="24"/>
    </row>
    <row r="759" spans="1:73" ht="73.5" customHeight="1" outlineLevel="2">
      <c r="A759" s="46" t="s">
        <v>185</v>
      </c>
      <c r="B759" s="45" t="s">
        <v>987</v>
      </c>
      <c r="C759" s="39">
        <f t="shared" si="125"/>
        <v>123.55803999999999</v>
      </c>
      <c r="D759" s="1">
        <f t="shared" si="123"/>
        <v>80.01286999999999</v>
      </c>
      <c r="E759" s="1">
        <f t="shared" si="124"/>
        <v>43.54517</v>
      </c>
      <c r="F759" s="22"/>
      <c r="G759" s="22"/>
      <c r="H759" s="22"/>
      <c r="I759" s="22"/>
      <c r="J759" s="22"/>
      <c r="K759" s="22"/>
      <c r="L759" s="22"/>
      <c r="M759" s="22"/>
      <c r="N759" s="4">
        <f>0.40402+5.87025</f>
        <v>6.2742700000000005</v>
      </c>
      <c r="O759" s="4">
        <f>0.0206+0.30496</f>
        <v>0.32556</v>
      </c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22"/>
      <c r="AA759" s="22"/>
      <c r="AB759" s="23">
        <v>25.40724</v>
      </c>
      <c r="AC759" s="4">
        <v>13.05311</v>
      </c>
      <c r="AD759" s="22"/>
      <c r="AE759" s="22"/>
      <c r="AF759" s="22"/>
      <c r="AG759" s="22"/>
      <c r="AH759" s="20"/>
      <c r="AI759" s="4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4"/>
      <c r="BA759" s="4"/>
      <c r="BB759" s="4"/>
      <c r="BC759" s="22"/>
      <c r="BD759" s="22"/>
      <c r="BE759" s="22"/>
      <c r="BF759" s="22">
        <v>48.33136</v>
      </c>
      <c r="BG759" s="22">
        <v>30.1665</v>
      </c>
      <c r="BH759" s="22"/>
      <c r="BI759" s="22"/>
      <c r="BJ759" s="22"/>
      <c r="BK759" s="22"/>
      <c r="BL759" s="22"/>
      <c r="BM759" s="22"/>
      <c r="BN759" s="22"/>
      <c r="BO759" s="4"/>
      <c r="BP759" s="4"/>
      <c r="BQ759" s="4"/>
      <c r="BR759" s="4"/>
      <c r="BS759" s="4"/>
      <c r="BT759" s="22"/>
      <c r="BU759" s="24"/>
    </row>
    <row r="760" spans="1:73" ht="73.5" customHeight="1" outlineLevel="2">
      <c r="A760" s="44" t="s">
        <v>185</v>
      </c>
      <c r="B760" s="26" t="s">
        <v>988</v>
      </c>
      <c r="C760" s="39">
        <f t="shared" si="125"/>
        <v>570.87286</v>
      </c>
      <c r="D760" s="1">
        <f t="shared" si="123"/>
        <v>200.84297999999998</v>
      </c>
      <c r="E760" s="1">
        <f t="shared" si="124"/>
        <v>370.02988</v>
      </c>
      <c r="F760" s="22"/>
      <c r="G760" s="22"/>
      <c r="H760" s="22"/>
      <c r="I760" s="22"/>
      <c r="J760" s="22">
        <v>71.80184</v>
      </c>
      <c r="K760" s="22">
        <v>38.57446</v>
      </c>
      <c r="L760" s="22"/>
      <c r="M760" s="22"/>
      <c r="N760" s="4">
        <v>12.14751</v>
      </c>
      <c r="O760" s="4">
        <v>0.54597</v>
      </c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22"/>
      <c r="AA760" s="22"/>
      <c r="AB760" s="23">
        <v>38.66352</v>
      </c>
      <c r="AC760" s="4">
        <v>19.81276</v>
      </c>
      <c r="AD760" s="22"/>
      <c r="AE760" s="22"/>
      <c r="AF760" s="22"/>
      <c r="AG760" s="22"/>
      <c r="AH760" s="20"/>
      <c r="AI760" s="4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4"/>
      <c r="BA760" s="4"/>
      <c r="BB760" s="4"/>
      <c r="BC760" s="22"/>
      <c r="BD760" s="22"/>
      <c r="BE760" s="22"/>
      <c r="BF760" s="22">
        <v>78.23011</v>
      </c>
      <c r="BG760" s="22">
        <v>48.87589</v>
      </c>
      <c r="BH760" s="22"/>
      <c r="BI760" s="22"/>
      <c r="BJ760" s="22">
        <v>262.2208</v>
      </c>
      <c r="BK760" s="22"/>
      <c r="BL760" s="22"/>
      <c r="BM760" s="22"/>
      <c r="BN760" s="22"/>
      <c r="BO760" s="4"/>
      <c r="BP760" s="4"/>
      <c r="BQ760" s="4"/>
      <c r="BR760" s="4"/>
      <c r="BS760" s="4"/>
      <c r="BT760" s="22"/>
      <c r="BU760" s="24"/>
    </row>
    <row r="761" spans="1:73" ht="73.5" customHeight="1" outlineLevel="2">
      <c r="A761" s="46" t="s">
        <v>185</v>
      </c>
      <c r="B761" s="45" t="s">
        <v>989</v>
      </c>
      <c r="C761" s="39">
        <f t="shared" si="125"/>
        <v>291.92</v>
      </c>
      <c r="D761" s="1">
        <f t="shared" si="123"/>
        <v>0</v>
      </c>
      <c r="E761" s="1">
        <f t="shared" si="124"/>
        <v>291.92</v>
      </c>
      <c r="F761" s="22"/>
      <c r="G761" s="22"/>
      <c r="H761" s="22"/>
      <c r="I761" s="22"/>
      <c r="J761" s="22"/>
      <c r="K761" s="22"/>
      <c r="L761" s="22"/>
      <c r="M761" s="22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22"/>
      <c r="AA761" s="22"/>
      <c r="AB761" s="23"/>
      <c r="AC761" s="4"/>
      <c r="AD761" s="22"/>
      <c r="AE761" s="22"/>
      <c r="AF761" s="22"/>
      <c r="AG761" s="22"/>
      <c r="AH761" s="20"/>
      <c r="AI761" s="4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>
        <v>42.32</v>
      </c>
      <c r="AX761" s="22">
        <v>249.6</v>
      </c>
      <c r="AY761" s="22"/>
      <c r="AZ761" s="4"/>
      <c r="BA761" s="4"/>
      <c r="BB761" s="4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4"/>
      <c r="BP761" s="4"/>
      <c r="BQ761" s="4"/>
      <c r="BR761" s="4"/>
      <c r="BS761" s="4"/>
      <c r="BT761" s="22"/>
      <c r="BU761" s="24"/>
    </row>
    <row r="762" spans="1:73" ht="73.5" customHeight="1" outlineLevel="2">
      <c r="A762" s="46" t="s">
        <v>185</v>
      </c>
      <c r="B762" s="45" t="s">
        <v>990</v>
      </c>
      <c r="C762" s="39">
        <f t="shared" si="125"/>
        <v>252.46804</v>
      </c>
      <c r="D762" s="1">
        <f t="shared" si="123"/>
        <v>167.1927</v>
      </c>
      <c r="E762" s="1">
        <f t="shared" si="124"/>
        <v>85.27534</v>
      </c>
      <c r="F762" s="22"/>
      <c r="G762" s="22"/>
      <c r="H762" s="22"/>
      <c r="I762" s="22"/>
      <c r="J762" s="22">
        <v>31.24372</v>
      </c>
      <c r="K762" s="22">
        <v>6.30688</v>
      </c>
      <c r="L762" s="22"/>
      <c r="M762" s="22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22">
        <v>22.5</v>
      </c>
      <c r="AA762" s="22">
        <v>11.9475</v>
      </c>
      <c r="AB762" s="23">
        <v>30.70586</v>
      </c>
      <c r="AC762" s="4">
        <v>15.38403</v>
      </c>
      <c r="AD762" s="22"/>
      <c r="AE762" s="22"/>
      <c r="AF762" s="22"/>
      <c r="AG762" s="22"/>
      <c r="AH762" s="20"/>
      <c r="AI762" s="4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4"/>
      <c r="BA762" s="4"/>
      <c r="BB762" s="4"/>
      <c r="BC762" s="22"/>
      <c r="BD762" s="22"/>
      <c r="BE762" s="22"/>
      <c r="BF762" s="22">
        <v>82.74312</v>
      </c>
      <c r="BG762" s="22">
        <v>51.63693</v>
      </c>
      <c r="BH762" s="22"/>
      <c r="BI762" s="22"/>
      <c r="BJ762" s="22"/>
      <c r="BK762" s="22"/>
      <c r="BL762" s="22"/>
      <c r="BM762" s="22"/>
      <c r="BN762" s="22"/>
      <c r="BO762" s="4"/>
      <c r="BP762" s="4"/>
      <c r="BQ762" s="4"/>
      <c r="BR762" s="4"/>
      <c r="BS762" s="4"/>
      <c r="BT762" s="22"/>
      <c r="BU762" s="24"/>
    </row>
    <row r="763" spans="1:73" ht="73.5" customHeight="1" outlineLevel="2">
      <c r="A763" s="46" t="s">
        <v>185</v>
      </c>
      <c r="B763" s="45" t="s">
        <v>991</v>
      </c>
      <c r="C763" s="39">
        <f t="shared" si="125"/>
        <v>442.24994</v>
      </c>
      <c r="D763" s="1">
        <f t="shared" si="123"/>
        <v>301.30339</v>
      </c>
      <c r="E763" s="1">
        <f t="shared" si="124"/>
        <v>140.94655</v>
      </c>
      <c r="F763" s="22"/>
      <c r="G763" s="22"/>
      <c r="H763" s="22"/>
      <c r="I763" s="22"/>
      <c r="J763" s="22">
        <v>25.70698</v>
      </c>
      <c r="K763" s="22">
        <v>6.88087</v>
      </c>
      <c r="L763" s="22"/>
      <c r="M763" s="22"/>
      <c r="N763" s="4">
        <f>54.52673+21.08813</f>
        <v>75.61486</v>
      </c>
      <c r="O763" s="4">
        <f>2.44523+0.93543</f>
        <v>3.3806599999999998</v>
      </c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22">
        <v>17.37579</v>
      </c>
      <c r="AA763" s="22">
        <v>23.895</v>
      </c>
      <c r="AB763" s="23">
        <v>64.2036</v>
      </c>
      <c r="AC763" s="4">
        <v>32.86588</v>
      </c>
      <c r="AD763" s="22"/>
      <c r="AE763" s="22"/>
      <c r="AF763" s="22"/>
      <c r="AG763" s="22"/>
      <c r="AH763" s="20"/>
      <c r="AI763" s="4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4"/>
      <c r="BA763" s="4"/>
      <c r="BB763" s="4"/>
      <c r="BC763" s="22"/>
      <c r="BD763" s="22"/>
      <c r="BE763" s="22"/>
      <c r="BF763" s="22">
        <v>118.40216</v>
      </c>
      <c r="BG763" s="22">
        <v>73.92414</v>
      </c>
      <c r="BH763" s="22"/>
      <c r="BI763" s="22"/>
      <c r="BJ763" s="22"/>
      <c r="BK763" s="22"/>
      <c r="BL763" s="22"/>
      <c r="BM763" s="22"/>
      <c r="BN763" s="22"/>
      <c r="BO763" s="4"/>
      <c r="BP763" s="4"/>
      <c r="BQ763" s="4"/>
      <c r="BR763" s="4"/>
      <c r="BS763" s="4"/>
      <c r="BT763" s="22"/>
      <c r="BU763" s="24"/>
    </row>
    <row r="764" spans="1:73" ht="73.5" customHeight="1" outlineLevel="2">
      <c r="A764" s="46" t="s">
        <v>185</v>
      </c>
      <c r="B764" s="45" t="s">
        <v>992</v>
      </c>
      <c r="C764" s="39">
        <f t="shared" si="125"/>
        <v>243.16456</v>
      </c>
      <c r="D764" s="1">
        <f t="shared" si="123"/>
        <v>112.05100999999999</v>
      </c>
      <c r="E764" s="1">
        <f t="shared" si="124"/>
        <v>131.11355</v>
      </c>
      <c r="F764" s="22"/>
      <c r="G764" s="22"/>
      <c r="H764" s="22"/>
      <c r="I764" s="22"/>
      <c r="J764" s="22"/>
      <c r="K764" s="22"/>
      <c r="L764" s="22"/>
      <c r="M764" s="22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22"/>
      <c r="AA764" s="22">
        <v>16.2</v>
      </c>
      <c r="AB764" s="23">
        <v>35.03441</v>
      </c>
      <c r="AC764" s="4">
        <v>17.48185</v>
      </c>
      <c r="AD764" s="22"/>
      <c r="AE764" s="22"/>
      <c r="AF764" s="22"/>
      <c r="AG764" s="22"/>
      <c r="AH764" s="20"/>
      <c r="AI764" s="4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4"/>
      <c r="BA764" s="4"/>
      <c r="BB764" s="4"/>
      <c r="BC764" s="22"/>
      <c r="BD764" s="22"/>
      <c r="BE764" s="22">
        <v>49.38191</v>
      </c>
      <c r="BF764" s="22">
        <v>77.0166</v>
      </c>
      <c r="BG764" s="22">
        <v>48.04979</v>
      </c>
      <c r="BH764" s="22"/>
      <c r="BI764" s="22"/>
      <c r="BJ764" s="22"/>
      <c r="BK764" s="22"/>
      <c r="BL764" s="22"/>
      <c r="BM764" s="22"/>
      <c r="BN764" s="22"/>
      <c r="BO764" s="4"/>
      <c r="BP764" s="4"/>
      <c r="BQ764" s="4"/>
      <c r="BR764" s="4"/>
      <c r="BS764" s="4"/>
      <c r="BT764" s="22"/>
      <c r="BU764" s="24"/>
    </row>
    <row r="765" spans="1:73" ht="73.5" customHeight="1" outlineLevel="2">
      <c r="A765" s="46" t="s">
        <v>185</v>
      </c>
      <c r="B765" s="45" t="s">
        <v>993</v>
      </c>
      <c r="C765" s="39">
        <f t="shared" si="125"/>
        <v>278.04804</v>
      </c>
      <c r="D765" s="1">
        <f t="shared" si="123"/>
        <v>174.42020000000002</v>
      </c>
      <c r="E765" s="1">
        <f t="shared" si="124"/>
        <v>103.62784</v>
      </c>
      <c r="F765" s="22"/>
      <c r="G765" s="22"/>
      <c r="H765" s="22"/>
      <c r="I765" s="22"/>
      <c r="J765" s="22"/>
      <c r="K765" s="22"/>
      <c r="L765" s="22"/>
      <c r="M765" s="22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22"/>
      <c r="AA765" s="22"/>
      <c r="AB765" s="23">
        <v>56.27114</v>
      </c>
      <c r="AC765" s="4">
        <v>29.83569</v>
      </c>
      <c r="AD765" s="22"/>
      <c r="AE765" s="22"/>
      <c r="AF765" s="22"/>
      <c r="AG765" s="22"/>
      <c r="AH765" s="20"/>
      <c r="AI765" s="4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4"/>
      <c r="BA765" s="4"/>
      <c r="BB765" s="4"/>
      <c r="BC765" s="22"/>
      <c r="BD765" s="22"/>
      <c r="BE765" s="22"/>
      <c r="BF765" s="22">
        <v>118.14906</v>
      </c>
      <c r="BG765" s="22">
        <v>73.79215</v>
      </c>
      <c r="BH765" s="22"/>
      <c r="BI765" s="22"/>
      <c r="BJ765" s="22"/>
      <c r="BK765" s="22"/>
      <c r="BL765" s="22"/>
      <c r="BM765" s="22"/>
      <c r="BN765" s="22"/>
      <c r="BO765" s="4"/>
      <c r="BP765" s="4"/>
      <c r="BQ765" s="4"/>
      <c r="BR765" s="4"/>
      <c r="BS765" s="4"/>
      <c r="BT765" s="22"/>
      <c r="BU765" s="24"/>
    </row>
    <row r="766" spans="1:73" ht="73.5" customHeight="1" outlineLevel="2">
      <c r="A766" s="46" t="s">
        <v>185</v>
      </c>
      <c r="B766" s="45" t="s">
        <v>994</v>
      </c>
      <c r="C766" s="39">
        <f t="shared" si="125"/>
        <v>542.44453</v>
      </c>
      <c r="D766" s="1">
        <f t="shared" si="123"/>
        <v>355.33503</v>
      </c>
      <c r="E766" s="1">
        <f t="shared" si="124"/>
        <v>187.1095</v>
      </c>
      <c r="F766" s="22"/>
      <c r="G766" s="22"/>
      <c r="H766" s="22"/>
      <c r="I766" s="22"/>
      <c r="J766" s="22">
        <v>111.1031</v>
      </c>
      <c r="K766" s="22">
        <v>23.61411</v>
      </c>
      <c r="L766" s="22"/>
      <c r="M766" s="22"/>
      <c r="N766" s="4">
        <f>0.71345+59.42532</f>
        <v>60.13877</v>
      </c>
      <c r="O766" s="4">
        <f>0.03661+2.57479</f>
        <v>2.6114</v>
      </c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22">
        <v>13.90063</v>
      </c>
      <c r="AA766" s="22">
        <v>19.116</v>
      </c>
      <c r="AB766" s="23">
        <v>64.76579</v>
      </c>
      <c r="AC766" s="4">
        <v>31.46733</v>
      </c>
      <c r="AD766" s="22"/>
      <c r="AE766" s="22"/>
      <c r="AF766" s="22"/>
      <c r="AG766" s="22"/>
      <c r="AH766" s="20">
        <f>16.22394+28.106</f>
        <v>44.32994</v>
      </c>
      <c r="AI766" s="4">
        <v>28.106</v>
      </c>
      <c r="AJ766" s="22">
        <v>16.22394</v>
      </c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4"/>
      <c r="BA766" s="4"/>
      <c r="BB766" s="4"/>
      <c r="BC766" s="22"/>
      <c r="BD766" s="22"/>
      <c r="BE766" s="22"/>
      <c r="BF766" s="22">
        <v>105.42674</v>
      </c>
      <c r="BG766" s="22">
        <v>65.97072</v>
      </c>
      <c r="BH766" s="22"/>
      <c r="BI766" s="22"/>
      <c r="BJ766" s="22"/>
      <c r="BK766" s="22"/>
      <c r="BL766" s="22"/>
      <c r="BM766" s="22"/>
      <c r="BN766" s="22"/>
      <c r="BO766" s="4"/>
      <c r="BP766" s="4"/>
      <c r="BQ766" s="4"/>
      <c r="BR766" s="4"/>
      <c r="BS766" s="4"/>
      <c r="BT766" s="22"/>
      <c r="BU766" s="24"/>
    </row>
    <row r="767" spans="1:73" ht="73.5" customHeight="1" outlineLevel="2">
      <c r="A767" s="46" t="s">
        <v>185</v>
      </c>
      <c r="B767" s="45" t="s">
        <v>995</v>
      </c>
      <c r="C767" s="39">
        <f t="shared" si="125"/>
        <v>2651.2091899999996</v>
      </c>
      <c r="D767" s="1">
        <f t="shared" si="123"/>
        <v>1819.6088399999999</v>
      </c>
      <c r="E767" s="1">
        <f t="shared" si="124"/>
        <v>831.6003499999999</v>
      </c>
      <c r="F767" s="22"/>
      <c r="G767" s="22"/>
      <c r="H767" s="22"/>
      <c r="I767" s="22"/>
      <c r="J767" s="22">
        <v>208.61364</v>
      </c>
      <c r="K767" s="22">
        <v>78.74457</v>
      </c>
      <c r="L767" s="22"/>
      <c r="M767" s="22"/>
      <c r="N767" s="4">
        <f>79.94049+169.53293</f>
        <v>249.47341999999998</v>
      </c>
      <c r="O767" s="4">
        <f>4.17426+7.58479</f>
        <v>11.75905</v>
      </c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22">
        <v>90</v>
      </c>
      <c r="AA767" s="22">
        <v>66.2175</v>
      </c>
      <c r="AB767" s="23">
        <v>551.50661</v>
      </c>
      <c r="AC767" s="4">
        <v>225.39931</v>
      </c>
      <c r="AD767" s="22"/>
      <c r="AE767" s="22"/>
      <c r="AF767" s="22"/>
      <c r="AG767" s="22"/>
      <c r="AH767" s="20"/>
      <c r="AI767" s="4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4"/>
      <c r="BA767" s="4"/>
      <c r="BB767" s="4"/>
      <c r="BC767" s="22"/>
      <c r="BD767" s="22"/>
      <c r="BE767" s="22"/>
      <c r="BF767" s="22">
        <v>720.01517</v>
      </c>
      <c r="BG767" s="22">
        <v>449.47992</v>
      </c>
      <c r="BH767" s="22"/>
      <c r="BI767" s="22"/>
      <c r="BJ767" s="22"/>
      <c r="BK767" s="22"/>
      <c r="BL767" s="22"/>
      <c r="BM767" s="22"/>
      <c r="BN767" s="22"/>
      <c r="BO767" s="4"/>
      <c r="BP767" s="4"/>
      <c r="BQ767" s="4"/>
      <c r="BR767" s="4"/>
      <c r="BS767" s="4"/>
      <c r="BT767" s="22"/>
      <c r="BU767" s="24"/>
    </row>
    <row r="768" spans="1:73" ht="73.5" customHeight="1" outlineLevel="2">
      <c r="A768" s="46" t="s">
        <v>185</v>
      </c>
      <c r="B768" s="45" t="s">
        <v>996</v>
      </c>
      <c r="C768" s="39">
        <f t="shared" si="125"/>
        <v>367.06148999999994</v>
      </c>
      <c r="D768" s="1">
        <f t="shared" si="123"/>
        <v>197.89614999999998</v>
      </c>
      <c r="E768" s="1">
        <f t="shared" si="124"/>
        <v>169.16534</v>
      </c>
      <c r="F768" s="22"/>
      <c r="G768" s="22"/>
      <c r="H768" s="22"/>
      <c r="I768" s="22"/>
      <c r="J768" s="22">
        <v>90.08406</v>
      </c>
      <c r="K768" s="22">
        <v>20.70254</v>
      </c>
      <c r="L768" s="22"/>
      <c r="M768" s="22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22"/>
      <c r="AA768" s="22"/>
      <c r="AB768" s="23">
        <v>27.23768</v>
      </c>
      <c r="AC768" s="4">
        <v>13.98548</v>
      </c>
      <c r="AD768" s="22"/>
      <c r="AE768" s="22"/>
      <c r="AF768" s="22"/>
      <c r="AG768" s="22"/>
      <c r="AH768" s="20"/>
      <c r="AI768" s="4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4"/>
      <c r="BA768" s="4"/>
      <c r="BB768" s="4"/>
      <c r="BC768" s="22"/>
      <c r="BD768" s="22">
        <v>84.1326</v>
      </c>
      <c r="BE768" s="22"/>
      <c r="BF768" s="22">
        <v>80.57441</v>
      </c>
      <c r="BG768" s="22">
        <v>50.34472</v>
      </c>
      <c r="BH768" s="22"/>
      <c r="BI768" s="22"/>
      <c r="BJ768" s="22"/>
      <c r="BK768" s="22"/>
      <c r="BL768" s="22"/>
      <c r="BM768" s="22"/>
      <c r="BN768" s="22"/>
      <c r="BO768" s="4"/>
      <c r="BP768" s="4"/>
      <c r="BQ768" s="4"/>
      <c r="BR768" s="4"/>
      <c r="BS768" s="4"/>
      <c r="BT768" s="22"/>
      <c r="BU768" s="24"/>
    </row>
    <row r="769" spans="1:73" ht="73.5" customHeight="1" outlineLevel="2">
      <c r="A769" s="46" t="s">
        <v>185</v>
      </c>
      <c r="B769" s="45" t="s">
        <v>997</v>
      </c>
      <c r="C769" s="39">
        <f t="shared" si="125"/>
        <v>512.65132</v>
      </c>
      <c r="D769" s="1">
        <f t="shared" si="123"/>
        <v>305.27363</v>
      </c>
      <c r="E769" s="1">
        <f t="shared" si="124"/>
        <v>207.37769</v>
      </c>
      <c r="F769" s="22"/>
      <c r="G769" s="22"/>
      <c r="H769" s="22"/>
      <c r="I769" s="22"/>
      <c r="J769" s="22">
        <v>159.95821</v>
      </c>
      <c r="K769" s="22">
        <v>73.78373</v>
      </c>
      <c r="L769" s="22"/>
      <c r="M769" s="22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22"/>
      <c r="AA769" s="22"/>
      <c r="AB769" s="23">
        <v>43.70341</v>
      </c>
      <c r="AC769" s="4">
        <v>22.84295</v>
      </c>
      <c r="AD769" s="22"/>
      <c r="AE769" s="22"/>
      <c r="AF769" s="22"/>
      <c r="AG769" s="22"/>
      <c r="AH769" s="20"/>
      <c r="AI769" s="4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4"/>
      <c r="BA769" s="4"/>
      <c r="BB769" s="4"/>
      <c r="BC769" s="22"/>
      <c r="BD769" s="22"/>
      <c r="BE769" s="22">
        <v>47.22657</v>
      </c>
      <c r="BF769" s="22">
        <v>101.61201</v>
      </c>
      <c r="BG769" s="22">
        <v>63.52444</v>
      </c>
      <c r="BH769" s="22"/>
      <c r="BI769" s="22"/>
      <c r="BJ769" s="22"/>
      <c r="BK769" s="22"/>
      <c r="BL769" s="22"/>
      <c r="BM769" s="22"/>
      <c r="BN769" s="22"/>
      <c r="BO769" s="4"/>
      <c r="BP769" s="4"/>
      <c r="BQ769" s="4"/>
      <c r="BR769" s="4"/>
      <c r="BS769" s="4"/>
      <c r="BT769" s="22"/>
      <c r="BU769" s="24"/>
    </row>
    <row r="770" spans="1:73" ht="73.5" customHeight="1" outlineLevel="2">
      <c r="A770" s="46" t="s">
        <v>185</v>
      </c>
      <c r="B770" s="45" t="s">
        <v>998</v>
      </c>
      <c r="C770" s="39">
        <f t="shared" si="125"/>
        <v>222.89914000000002</v>
      </c>
      <c r="D770" s="1">
        <f t="shared" si="123"/>
        <v>151.26233000000002</v>
      </c>
      <c r="E770" s="1">
        <f t="shared" si="124"/>
        <v>71.63681</v>
      </c>
      <c r="F770" s="22"/>
      <c r="G770" s="22"/>
      <c r="H770" s="22"/>
      <c r="I770" s="22"/>
      <c r="J770" s="22"/>
      <c r="K770" s="22"/>
      <c r="L770" s="22"/>
      <c r="M770" s="22"/>
      <c r="N770" s="4">
        <v>32.61102</v>
      </c>
      <c r="O770" s="4">
        <v>1.45214</v>
      </c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22"/>
      <c r="AA770" s="22"/>
      <c r="AB770" s="23">
        <v>38.03293</v>
      </c>
      <c r="AC770" s="4">
        <v>19.81276</v>
      </c>
      <c r="AD770" s="22"/>
      <c r="AE770" s="22"/>
      <c r="AF770" s="22"/>
      <c r="AG770" s="22"/>
      <c r="AH770" s="20"/>
      <c r="AI770" s="4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4"/>
      <c r="BA770" s="4"/>
      <c r="BB770" s="4"/>
      <c r="BC770" s="22"/>
      <c r="BD770" s="22"/>
      <c r="BE770" s="22"/>
      <c r="BF770" s="22">
        <v>80.61838</v>
      </c>
      <c r="BG770" s="22">
        <v>50.37191</v>
      </c>
      <c r="BH770" s="22"/>
      <c r="BI770" s="22"/>
      <c r="BJ770" s="22"/>
      <c r="BK770" s="22"/>
      <c r="BL770" s="22"/>
      <c r="BM770" s="22"/>
      <c r="BN770" s="22"/>
      <c r="BO770" s="4"/>
      <c r="BP770" s="4"/>
      <c r="BQ770" s="4"/>
      <c r="BR770" s="4"/>
      <c r="BS770" s="4"/>
      <c r="BT770" s="22"/>
      <c r="BU770" s="24"/>
    </row>
    <row r="771" spans="1:73" ht="73.5" customHeight="1" outlineLevel="2">
      <c r="A771" s="46" t="s">
        <v>185</v>
      </c>
      <c r="B771" s="45" t="s">
        <v>999</v>
      </c>
      <c r="C771" s="39">
        <f t="shared" si="125"/>
        <v>510.68212000000005</v>
      </c>
      <c r="D771" s="1">
        <f t="shared" si="123"/>
        <v>325.35225</v>
      </c>
      <c r="E771" s="1">
        <f t="shared" si="124"/>
        <v>185.32987</v>
      </c>
      <c r="F771" s="22"/>
      <c r="G771" s="22"/>
      <c r="H771" s="22"/>
      <c r="I771" s="22"/>
      <c r="J771" s="22"/>
      <c r="K771" s="22"/>
      <c r="L771" s="22"/>
      <c r="M771" s="22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22"/>
      <c r="AA771" s="22"/>
      <c r="AB771" s="23">
        <v>143.31751</v>
      </c>
      <c r="AC771" s="4">
        <v>71.32594</v>
      </c>
      <c r="AD771" s="22"/>
      <c r="AE771" s="22"/>
      <c r="AF771" s="22"/>
      <c r="AG771" s="22"/>
      <c r="AH771" s="20"/>
      <c r="AI771" s="4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4"/>
      <c r="BA771" s="4"/>
      <c r="BB771" s="4"/>
      <c r="BC771" s="22"/>
      <c r="BD771" s="22"/>
      <c r="BE771" s="22"/>
      <c r="BF771" s="22">
        <v>182.03474</v>
      </c>
      <c r="BG771" s="22">
        <v>114.00393</v>
      </c>
      <c r="BH771" s="22"/>
      <c r="BI771" s="22"/>
      <c r="BJ771" s="22"/>
      <c r="BK771" s="22"/>
      <c r="BL771" s="22"/>
      <c r="BM771" s="22"/>
      <c r="BN771" s="22"/>
      <c r="BO771" s="4"/>
      <c r="BP771" s="4"/>
      <c r="BQ771" s="4"/>
      <c r="BR771" s="4"/>
      <c r="BS771" s="4"/>
      <c r="BT771" s="22"/>
      <c r="BU771" s="24"/>
    </row>
    <row r="772" spans="1:73" ht="73.5" customHeight="1" outlineLevel="2">
      <c r="A772" s="46" t="s">
        <v>185</v>
      </c>
      <c r="B772" s="45" t="s">
        <v>1000</v>
      </c>
      <c r="C772" s="39">
        <f t="shared" si="125"/>
        <v>270.63952</v>
      </c>
      <c r="D772" s="1">
        <f t="shared" si="123"/>
        <v>179.7785</v>
      </c>
      <c r="E772" s="1">
        <f t="shared" si="124"/>
        <v>90.86102</v>
      </c>
      <c r="F772" s="22">
        <v>2.6612</v>
      </c>
      <c r="G772" s="22">
        <v>0.88706</v>
      </c>
      <c r="H772" s="22"/>
      <c r="I772" s="22"/>
      <c r="J772" s="22">
        <v>20.15604</v>
      </c>
      <c r="K772" s="22">
        <v>4.17241</v>
      </c>
      <c r="L772" s="22"/>
      <c r="M772" s="22"/>
      <c r="N772" s="4">
        <f>9.89019+0.65272</f>
        <v>10.542910000000001</v>
      </c>
      <c r="O772" s="4">
        <f>0.49451+0.03264</f>
        <v>0.52715</v>
      </c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22"/>
      <c r="AA772" s="22"/>
      <c r="AB772" s="23">
        <v>49.10777</v>
      </c>
      <c r="AC772" s="4">
        <v>24.47459</v>
      </c>
      <c r="AD772" s="22"/>
      <c r="AE772" s="22"/>
      <c r="AF772" s="22"/>
      <c r="AG772" s="22"/>
      <c r="AH772" s="20"/>
      <c r="AI772" s="4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4"/>
      <c r="BA772" s="4"/>
      <c r="BB772" s="4"/>
      <c r="BC772" s="22"/>
      <c r="BD772" s="22"/>
      <c r="BE772" s="22"/>
      <c r="BF772" s="22">
        <v>97.31058</v>
      </c>
      <c r="BG772" s="22">
        <v>60.79981</v>
      </c>
      <c r="BH772" s="22"/>
      <c r="BI772" s="22"/>
      <c r="BJ772" s="22"/>
      <c r="BK772" s="22"/>
      <c r="BL772" s="22"/>
      <c r="BM772" s="22"/>
      <c r="BN772" s="22"/>
      <c r="BO772" s="4"/>
      <c r="BP772" s="4"/>
      <c r="BQ772" s="4"/>
      <c r="BR772" s="4"/>
      <c r="BS772" s="4"/>
      <c r="BT772" s="22"/>
      <c r="BU772" s="24"/>
    </row>
    <row r="773" spans="1:73" ht="73.5" customHeight="1" outlineLevel="2">
      <c r="A773" s="46" t="s">
        <v>185</v>
      </c>
      <c r="B773" s="45" t="s">
        <v>1001</v>
      </c>
      <c r="C773" s="39">
        <f t="shared" si="125"/>
        <v>893.04566</v>
      </c>
      <c r="D773" s="1">
        <f t="shared" si="123"/>
        <v>305.13728</v>
      </c>
      <c r="E773" s="1">
        <f t="shared" si="124"/>
        <v>587.9083800000001</v>
      </c>
      <c r="F773" s="22"/>
      <c r="G773" s="22"/>
      <c r="H773" s="22"/>
      <c r="I773" s="22"/>
      <c r="J773" s="22">
        <v>68.65921</v>
      </c>
      <c r="K773" s="22">
        <v>35.37045</v>
      </c>
      <c r="L773" s="22"/>
      <c r="M773" s="22"/>
      <c r="N773" s="4">
        <v>17.7242</v>
      </c>
      <c r="O773" s="4">
        <v>0.91518</v>
      </c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22">
        <v>10.42547</v>
      </c>
      <c r="AA773" s="22">
        <v>14.337</v>
      </c>
      <c r="AB773" s="23">
        <v>65.56635</v>
      </c>
      <c r="AC773" s="4">
        <v>32.63278</v>
      </c>
      <c r="AD773" s="22"/>
      <c r="AE773" s="22"/>
      <c r="AF773" s="22"/>
      <c r="AG773" s="22"/>
      <c r="AH773" s="20">
        <f>13.51995+22.4848</f>
        <v>36.00475</v>
      </c>
      <c r="AI773" s="4">
        <v>22.4848</v>
      </c>
      <c r="AJ773" s="22">
        <v>13.51995</v>
      </c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4"/>
      <c r="BA773" s="4"/>
      <c r="BB773" s="4"/>
      <c r="BC773" s="22"/>
      <c r="BD773" s="22">
        <v>117.2612</v>
      </c>
      <c r="BE773" s="22"/>
      <c r="BF773" s="22">
        <v>142.76205</v>
      </c>
      <c r="BG773" s="22">
        <v>89.16622</v>
      </c>
      <c r="BH773" s="22"/>
      <c r="BI773" s="22"/>
      <c r="BJ773" s="22">
        <v>262.2208</v>
      </c>
      <c r="BK773" s="22"/>
      <c r="BL773" s="22"/>
      <c r="BM773" s="22"/>
      <c r="BN773" s="22"/>
      <c r="BO773" s="4"/>
      <c r="BP773" s="4"/>
      <c r="BQ773" s="4"/>
      <c r="BR773" s="4"/>
      <c r="BS773" s="4"/>
      <c r="BT773" s="22"/>
      <c r="BU773" s="24"/>
    </row>
    <row r="774" spans="1:73" ht="73.5" customHeight="1" outlineLevel="2">
      <c r="A774" s="46" t="s">
        <v>185</v>
      </c>
      <c r="B774" s="45" t="s">
        <v>1002</v>
      </c>
      <c r="C774" s="39">
        <f t="shared" si="125"/>
        <v>1146.67189</v>
      </c>
      <c r="D774" s="1">
        <f t="shared" si="123"/>
        <v>679.12293</v>
      </c>
      <c r="E774" s="1">
        <f t="shared" si="124"/>
        <v>467.5489600000001</v>
      </c>
      <c r="F774" s="22">
        <v>10.35625</v>
      </c>
      <c r="G774" s="22">
        <v>4.30118</v>
      </c>
      <c r="H774" s="22"/>
      <c r="I774" s="22"/>
      <c r="J774" s="22"/>
      <c r="K774" s="22"/>
      <c r="L774" s="22"/>
      <c r="M774" s="22"/>
      <c r="N774" s="4">
        <v>24.96012</v>
      </c>
      <c r="O774" s="4">
        <v>1.29672</v>
      </c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22">
        <v>225</v>
      </c>
      <c r="AA774" s="22">
        <v>186.9885</v>
      </c>
      <c r="AB774" s="23">
        <v>136.8211</v>
      </c>
      <c r="AC774" s="4">
        <v>67.59648</v>
      </c>
      <c r="AD774" s="22"/>
      <c r="AE774" s="22"/>
      <c r="AF774" s="22"/>
      <c r="AG774" s="22"/>
      <c r="AH774" s="20">
        <f>14.4531+16.8636</f>
        <v>31.3167</v>
      </c>
      <c r="AI774" s="4">
        <v>16.8636</v>
      </c>
      <c r="AJ774" s="22">
        <v>14.4531</v>
      </c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4"/>
      <c r="BA774" s="4"/>
      <c r="BB774" s="4"/>
      <c r="BC774" s="22"/>
      <c r="BD774" s="22"/>
      <c r="BE774" s="22"/>
      <c r="BF774" s="22">
        <v>281.98546</v>
      </c>
      <c r="BG774" s="22">
        <v>176.04938</v>
      </c>
      <c r="BH774" s="22"/>
      <c r="BI774" s="22"/>
      <c r="BJ774" s="22"/>
      <c r="BK774" s="22"/>
      <c r="BL774" s="22"/>
      <c r="BM774" s="22"/>
      <c r="BN774" s="22"/>
      <c r="BO774" s="4"/>
      <c r="BP774" s="4"/>
      <c r="BQ774" s="4"/>
      <c r="BR774" s="4"/>
      <c r="BS774" s="4"/>
      <c r="BT774" s="22"/>
      <c r="BU774" s="24"/>
    </row>
    <row r="775" spans="1:73" ht="73.5" customHeight="1" outlineLevel="2">
      <c r="A775" s="46" t="s">
        <v>185</v>
      </c>
      <c r="B775" s="45" t="s">
        <v>1003</v>
      </c>
      <c r="C775" s="39">
        <f t="shared" si="125"/>
        <v>1140.93743</v>
      </c>
      <c r="D775" s="1">
        <f t="shared" si="123"/>
        <v>671.51779</v>
      </c>
      <c r="E775" s="1">
        <f t="shared" si="124"/>
        <v>469.41963999999996</v>
      </c>
      <c r="F775" s="22"/>
      <c r="G775" s="22"/>
      <c r="H775" s="22"/>
      <c r="I775" s="22"/>
      <c r="J775" s="22">
        <v>146.91931</v>
      </c>
      <c r="K775" s="22">
        <v>79.37957</v>
      </c>
      <c r="L775" s="22"/>
      <c r="M775" s="22"/>
      <c r="N775" s="4">
        <v>49.09688</v>
      </c>
      <c r="O775" s="4">
        <f>2.19658</f>
        <v>2.19658</v>
      </c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22">
        <v>67.5</v>
      </c>
      <c r="AA775" s="22">
        <v>35.8425</v>
      </c>
      <c r="AB775" s="23">
        <v>150.66793</v>
      </c>
      <c r="AC775" s="4">
        <v>74.58922</v>
      </c>
      <c r="AD775" s="22"/>
      <c r="AE775" s="22"/>
      <c r="AF775" s="22"/>
      <c r="AG775" s="22"/>
      <c r="AH775" s="20">
        <f>37.85586+78.6968</f>
        <v>116.55266</v>
      </c>
      <c r="AI775" s="4">
        <v>78.6968</v>
      </c>
      <c r="AJ775" s="22">
        <v>37.85586</v>
      </c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4"/>
      <c r="BA775" s="4"/>
      <c r="BB775" s="4"/>
      <c r="BC775" s="22"/>
      <c r="BD775" s="22"/>
      <c r="BE775" s="22"/>
      <c r="BF775" s="22">
        <v>257.33367</v>
      </c>
      <c r="BG775" s="22">
        <v>160.85911</v>
      </c>
      <c r="BH775" s="22"/>
      <c r="BI775" s="22"/>
      <c r="BJ775" s="22"/>
      <c r="BK775" s="22"/>
      <c r="BL775" s="22"/>
      <c r="BM775" s="22"/>
      <c r="BN775" s="22"/>
      <c r="BO775" s="4"/>
      <c r="BP775" s="4"/>
      <c r="BQ775" s="4"/>
      <c r="BR775" s="4"/>
      <c r="BS775" s="4"/>
      <c r="BT775" s="22"/>
      <c r="BU775" s="24"/>
    </row>
    <row r="776" spans="1:73" ht="73.5" customHeight="1" outlineLevel="2">
      <c r="A776" s="46" t="s">
        <v>185</v>
      </c>
      <c r="B776" s="45" t="s">
        <v>1004</v>
      </c>
      <c r="C776" s="39">
        <f t="shared" si="125"/>
        <v>836.05955</v>
      </c>
      <c r="D776" s="1">
        <f t="shared" si="123"/>
        <v>534.00324</v>
      </c>
      <c r="E776" s="1">
        <f t="shared" si="124"/>
        <v>302.05631</v>
      </c>
      <c r="F776" s="22"/>
      <c r="G776" s="22"/>
      <c r="H776" s="22"/>
      <c r="I776" s="22"/>
      <c r="J776" s="22"/>
      <c r="K776" s="22"/>
      <c r="L776" s="22"/>
      <c r="M776" s="22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22"/>
      <c r="AA776" s="22"/>
      <c r="AB776" s="23">
        <v>211.13369</v>
      </c>
      <c r="AC776" s="4">
        <v>100.22927</v>
      </c>
      <c r="AD776" s="22"/>
      <c r="AE776" s="22"/>
      <c r="AF776" s="22"/>
      <c r="AG776" s="22"/>
      <c r="AH776" s="20"/>
      <c r="AI776" s="4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4"/>
      <c r="BA776" s="4"/>
      <c r="BB776" s="4"/>
      <c r="BC776" s="22"/>
      <c r="BD776" s="22"/>
      <c r="BE776" s="22"/>
      <c r="BF776" s="22">
        <v>322.86955</v>
      </c>
      <c r="BG776" s="22">
        <v>201.82704</v>
      </c>
      <c r="BH776" s="22"/>
      <c r="BI776" s="22"/>
      <c r="BJ776" s="22"/>
      <c r="BK776" s="22"/>
      <c r="BL776" s="22"/>
      <c r="BM776" s="22"/>
      <c r="BN776" s="22"/>
      <c r="BO776" s="4"/>
      <c r="BP776" s="4"/>
      <c r="BQ776" s="4"/>
      <c r="BR776" s="4"/>
      <c r="BS776" s="4"/>
      <c r="BT776" s="22"/>
      <c r="BU776" s="24"/>
    </row>
    <row r="777" spans="1:73" ht="73.5" customHeight="1" outlineLevel="2">
      <c r="A777" s="46" t="s">
        <v>185</v>
      </c>
      <c r="B777" s="45" t="s">
        <v>1005</v>
      </c>
      <c r="C777" s="39">
        <f t="shared" si="125"/>
        <v>944.70187</v>
      </c>
      <c r="D777" s="1">
        <f t="shared" si="123"/>
        <v>484.17076</v>
      </c>
      <c r="E777" s="1">
        <f t="shared" si="124"/>
        <v>460.53111</v>
      </c>
      <c r="F777" s="22"/>
      <c r="G777" s="22"/>
      <c r="H777" s="22"/>
      <c r="I777" s="22"/>
      <c r="J777" s="22"/>
      <c r="K777" s="22"/>
      <c r="L777" s="22"/>
      <c r="M777" s="22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22"/>
      <c r="AA777" s="22"/>
      <c r="AB777" s="23">
        <v>173.63583</v>
      </c>
      <c r="AC777" s="4">
        <v>90.90561</v>
      </c>
      <c r="AD777" s="22"/>
      <c r="AE777" s="22"/>
      <c r="AF777" s="22"/>
      <c r="AG777" s="22"/>
      <c r="AH777" s="20">
        <f>57.68512+9.6354+85.45415</f>
        <v>152.77467000000001</v>
      </c>
      <c r="AI777" s="4">
        <v>85.45415</v>
      </c>
      <c r="AJ777" s="22">
        <v>67.32052</v>
      </c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4"/>
      <c r="BA777" s="4"/>
      <c r="BB777" s="4"/>
      <c r="BC777" s="22"/>
      <c r="BD777" s="22"/>
      <c r="BE777" s="22">
        <v>22.52041</v>
      </c>
      <c r="BF777" s="22">
        <v>310.53493</v>
      </c>
      <c r="BG777" s="22">
        <v>194.33042</v>
      </c>
      <c r="BH777" s="22"/>
      <c r="BI777" s="22"/>
      <c r="BJ777" s="22"/>
      <c r="BK777" s="22"/>
      <c r="BL777" s="22"/>
      <c r="BM777" s="22"/>
      <c r="BN777" s="22"/>
      <c r="BO777" s="4"/>
      <c r="BP777" s="4"/>
      <c r="BQ777" s="4"/>
      <c r="BR777" s="4"/>
      <c r="BS777" s="4"/>
      <c r="BT777" s="22"/>
      <c r="BU777" s="24"/>
    </row>
    <row r="778" spans="1:73" ht="73.5" customHeight="1" outlineLevel="2">
      <c r="A778" s="46" t="s">
        <v>185</v>
      </c>
      <c r="B778" s="45" t="s">
        <v>1006</v>
      </c>
      <c r="C778" s="39">
        <f t="shared" si="125"/>
        <v>1100.1779999999999</v>
      </c>
      <c r="D778" s="1">
        <f t="shared" si="123"/>
        <v>530.30022</v>
      </c>
      <c r="E778" s="1">
        <f t="shared" si="124"/>
        <v>569.87778</v>
      </c>
      <c r="F778" s="22"/>
      <c r="G778" s="22"/>
      <c r="H778" s="22"/>
      <c r="I778" s="22"/>
      <c r="J778" s="22">
        <v>63.34192</v>
      </c>
      <c r="K778" s="22">
        <v>31.02814</v>
      </c>
      <c r="L778" s="22"/>
      <c r="M778" s="22"/>
      <c r="N778" s="4">
        <f>77.27995</f>
        <v>77.27995</v>
      </c>
      <c r="O778" s="4">
        <f>3.45994</f>
        <v>3.45994</v>
      </c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22">
        <v>17.37579</v>
      </c>
      <c r="AA778" s="22">
        <v>23.895</v>
      </c>
      <c r="AB778" s="23">
        <v>117.40914</v>
      </c>
      <c r="AC778" s="4">
        <v>58.27283</v>
      </c>
      <c r="AD778" s="22"/>
      <c r="AE778" s="22"/>
      <c r="AF778" s="22"/>
      <c r="AG778" s="22"/>
      <c r="AH778" s="20">
        <f>31.54655+67.4544</f>
        <v>99.00095</v>
      </c>
      <c r="AI778" s="4">
        <v>67.4544</v>
      </c>
      <c r="AJ778" s="22">
        <v>31.54655</v>
      </c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4"/>
      <c r="BA778" s="4"/>
      <c r="BB778" s="4"/>
      <c r="BC778" s="22"/>
      <c r="BD778" s="22"/>
      <c r="BE778" s="22">
        <v>195.06</v>
      </c>
      <c r="BF778" s="22">
        <v>254.89342</v>
      </c>
      <c r="BG778" s="22">
        <v>159.16092</v>
      </c>
      <c r="BH778" s="22"/>
      <c r="BI778" s="22"/>
      <c r="BJ778" s="22"/>
      <c r="BK778" s="22"/>
      <c r="BL778" s="22"/>
      <c r="BM778" s="22"/>
      <c r="BN778" s="22"/>
      <c r="BO778" s="4"/>
      <c r="BP778" s="4"/>
      <c r="BQ778" s="4"/>
      <c r="BR778" s="4"/>
      <c r="BS778" s="4"/>
      <c r="BT778" s="22"/>
      <c r="BU778" s="24"/>
    </row>
    <row r="779" spans="1:73" ht="73.5" customHeight="1" outlineLevel="2">
      <c r="A779" s="46" t="s">
        <v>185</v>
      </c>
      <c r="B779" s="45" t="s">
        <v>1007</v>
      </c>
      <c r="C779" s="39">
        <f t="shared" si="125"/>
        <v>249.51203</v>
      </c>
      <c r="D779" s="1">
        <f t="shared" si="123"/>
        <v>172.25233</v>
      </c>
      <c r="E779" s="1">
        <f t="shared" si="124"/>
        <v>77.25970000000001</v>
      </c>
      <c r="F779" s="22"/>
      <c r="G779" s="22"/>
      <c r="H779" s="22"/>
      <c r="I779" s="22"/>
      <c r="J779" s="22">
        <v>69.6046</v>
      </c>
      <c r="K779" s="22">
        <v>23.42718</v>
      </c>
      <c r="L779" s="22"/>
      <c r="M779" s="22"/>
      <c r="N779" s="4">
        <v>12.14751</v>
      </c>
      <c r="O779" s="4">
        <f>0.54597</f>
        <v>0.54597</v>
      </c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22"/>
      <c r="AA779" s="22"/>
      <c r="AB779" s="23">
        <v>27.58606</v>
      </c>
      <c r="AC779" s="4">
        <v>13.98548</v>
      </c>
      <c r="AD779" s="22"/>
      <c r="AE779" s="22"/>
      <c r="AF779" s="22"/>
      <c r="AG779" s="22"/>
      <c r="AH779" s="20"/>
      <c r="AI779" s="4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4"/>
      <c r="BA779" s="4"/>
      <c r="BB779" s="4"/>
      <c r="BC779" s="22"/>
      <c r="BD779" s="22"/>
      <c r="BE779" s="22"/>
      <c r="BF779" s="22">
        <v>62.91416</v>
      </c>
      <c r="BG779" s="22">
        <v>39.30107</v>
      </c>
      <c r="BH779" s="22"/>
      <c r="BI779" s="22"/>
      <c r="BJ779" s="22"/>
      <c r="BK779" s="22"/>
      <c r="BL779" s="22"/>
      <c r="BM779" s="22"/>
      <c r="BN779" s="22"/>
      <c r="BO779" s="4"/>
      <c r="BP779" s="4"/>
      <c r="BQ779" s="4"/>
      <c r="BR779" s="4"/>
      <c r="BS779" s="4"/>
      <c r="BT779" s="22"/>
      <c r="BU779" s="24"/>
    </row>
    <row r="780" spans="1:73" ht="73.5" customHeight="1" outlineLevel="2">
      <c r="A780" s="46" t="s">
        <v>185</v>
      </c>
      <c r="B780" s="45" t="s">
        <v>1008</v>
      </c>
      <c r="C780" s="39">
        <f t="shared" si="125"/>
        <v>380.8204</v>
      </c>
      <c r="D780" s="1">
        <f t="shared" si="123"/>
        <v>206.27826</v>
      </c>
      <c r="E780" s="1">
        <f t="shared" si="124"/>
        <v>174.54214000000002</v>
      </c>
      <c r="F780" s="22"/>
      <c r="G780" s="22"/>
      <c r="H780" s="22"/>
      <c r="I780" s="22"/>
      <c r="J780" s="22"/>
      <c r="K780" s="22"/>
      <c r="L780" s="22"/>
      <c r="M780" s="22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22">
        <v>34.75158</v>
      </c>
      <c r="AA780" s="22">
        <v>62.4915</v>
      </c>
      <c r="AB780" s="23">
        <v>55.49755</v>
      </c>
      <c r="AC780" s="4">
        <v>29.13641</v>
      </c>
      <c r="AD780" s="22"/>
      <c r="AE780" s="22"/>
      <c r="AF780" s="22"/>
      <c r="AG780" s="22"/>
      <c r="AH780" s="20">
        <f>4.8177+5.6212</f>
        <v>10.4389</v>
      </c>
      <c r="AI780" s="4">
        <v>5.6212</v>
      </c>
      <c r="AJ780" s="22">
        <v>4.8177</v>
      </c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4"/>
      <c r="BA780" s="4"/>
      <c r="BB780" s="4"/>
      <c r="BC780" s="22"/>
      <c r="BD780" s="22"/>
      <c r="BE780" s="22"/>
      <c r="BF780" s="22">
        <v>116.02913</v>
      </c>
      <c r="BG780" s="22">
        <v>72.47533</v>
      </c>
      <c r="BH780" s="22"/>
      <c r="BI780" s="22"/>
      <c r="BJ780" s="22"/>
      <c r="BK780" s="22"/>
      <c r="BL780" s="22"/>
      <c r="BM780" s="22"/>
      <c r="BN780" s="22"/>
      <c r="BO780" s="4"/>
      <c r="BP780" s="4"/>
      <c r="BQ780" s="4"/>
      <c r="BR780" s="4"/>
      <c r="BS780" s="4"/>
      <c r="BT780" s="22"/>
      <c r="BU780" s="24"/>
    </row>
    <row r="781" spans="1:73" ht="73.5" customHeight="1" outlineLevel="2">
      <c r="A781" s="46" t="s">
        <v>185</v>
      </c>
      <c r="B781" s="45" t="s">
        <v>1009</v>
      </c>
      <c r="C781" s="39">
        <f t="shared" si="125"/>
        <v>65.25831</v>
      </c>
      <c r="D781" s="1">
        <f t="shared" si="123"/>
        <v>45.90807</v>
      </c>
      <c r="E781" s="1">
        <f t="shared" si="124"/>
        <v>19.35024</v>
      </c>
      <c r="F781" s="22"/>
      <c r="G781" s="22"/>
      <c r="H781" s="22"/>
      <c r="I781" s="22"/>
      <c r="J781" s="22">
        <v>22.86176</v>
      </c>
      <c r="K781" s="22">
        <v>5.89387</v>
      </c>
      <c r="L781" s="22"/>
      <c r="M781" s="22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22"/>
      <c r="AA781" s="22"/>
      <c r="AB781" s="23">
        <v>8.22597</v>
      </c>
      <c r="AC781" s="4">
        <v>4.19564</v>
      </c>
      <c r="AD781" s="22"/>
      <c r="AE781" s="22"/>
      <c r="AF781" s="22"/>
      <c r="AG781" s="22"/>
      <c r="AH781" s="20"/>
      <c r="AI781" s="4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4"/>
      <c r="BA781" s="4"/>
      <c r="BB781" s="4"/>
      <c r="BC781" s="22"/>
      <c r="BD781" s="22"/>
      <c r="BE781" s="22"/>
      <c r="BF781" s="22">
        <v>14.82034</v>
      </c>
      <c r="BG781" s="22">
        <v>9.26073</v>
      </c>
      <c r="BH781" s="22"/>
      <c r="BI781" s="22"/>
      <c r="BJ781" s="22"/>
      <c r="BK781" s="22"/>
      <c r="BL781" s="22"/>
      <c r="BM781" s="22"/>
      <c r="BN781" s="22"/>
      <c r="BO781" s="4"/>
      <c r="BP781" s="4"/>
      <c r="BQ781" s="4"/>
      <c r="BR781" s="4"/>
      <c r="BS781" s="4"/>
      <c r="BT781" s="22"/>
      <c r="BU781" s="24"/>
    </row>
    <row r="782" spans="1:73" ht="73.5" customHeight="1" outlineLevel="2">
      <c r="A782" s="46" t="s">
        <v>185</v>
      </c>
      <c r="B782" s="45" t="s">
        <v>1010</v>
      </c>
      <c r="C782" s="39">
        <f t="shared" si="125"/>
        <v>388.50996</v>
      </c>
      <c r="D782" s="1">
        <f t="shared" si="123"/>
        <v>118.98979</v>
      </c>
      <c r="E782" s="1">
        <f t="shared" si="124"/>
        <v>269.52017</v>
      </c>
      <c r="F782" s="22"/>
      <c r="G782" s="22"/>
      <c r="H782" s="22"/>
      <c r="I782" s="22"/>
      <c r="J782" s="22">
        <v>40.9298</v>
      </c>
      <c r="K782" s="22">
        <v>21.03856</v>
      </c>
      <c r="L782" s="22"/>
      <c r="M782" s="22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22"/>
      <c r="AA782" s="22"/>
      <c r="AB782" s="23">
        <v>28.70175</v>
      </c>
      <c r="AC782" s="4">
        <v>14.45166</v>
      </c>
      <c r="AD782" s="22"/>
      <c r="AE782" s="22"/>
      <c r="AF782" s="22"/>
      <c r="AG782" s="22"/>
      <c r="AH782" s="20"/>
      <c r="AI782" s="4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>
        <v>36.8</v>
      </c>
      <c r="AX782" s="22">
        <v>166.4</v>
      </c>
      <c r="AY782" s="22"/>
      <c r="AZ782" s="4"/>
      <c r="BA782" s="4"/>
      <c r="BB782" s="4"/>
      <c r="BC782" s="22"/>
      <c r="BD782" s="22"/>
      <c r="BE782" s="22"/>
      <c r="BF782" s="22">
        <v>49.35824</v>
      </c>
      <c r="BG782" s="22">
        <v>30.82995</v>
      </c>
      <c r="BH782" s="22"/>
      <c r="BI782" s="22"/>
      <c r="BJ782" s="22"/>
      <c r="BK782" s="22"/>
      <c r="BL782" s="22"/>
      <c r="BM782" s="22"/>
      <c r="BN782" s="22"/>
      <c r="BO782" s="4"/>
      <c r="BP782" s="4"/>
      <c r="BQ782" s="4"/>
      <c r="BR782" s="4"/>
      <c r="BS782" s="4"/>
      <c r="BT782" s="22"/>
      <c r="BU782" s="24"/>
    </row>
    <row r="783" spans="1:73" ht="73.5" customHeight="1" outlineLevel="2">
      <c r="A783" s="46" t="s">
        <v>185</v>
      </c>
      <c r="B783" s="45" t="s">
        <v>1011</v>
      </c>
      <c r="C783" s="39">
        <f t="shared" si="125"/>
        <v>801.02565</v>
      </c>
      <c r="D783" s="1">
        <f t="shared" si="123"/>
        <v>437.80109</v>
      </c>
      <c r="E783" s="1">
        <f t="shared" si="124"/>
        <v>363.22456</v>
      </c>
      <c r="F783" s="22"/>
      <c r="G783" s="22"/>
      <c r="H783" s="22"/>
      <c r="I783" s="22"/>
      <c r="J783" s="22"/>
      <c r="K783" s="22"/>
      <c r="L783" s="22"/>
      <c r="M783" s="22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22">
        <v>31.5</v>
      </c>
      <c r="AA783" s="22">
        <v>16.7265</v>
      </c>
      <c r="AB783" s="23">
        <v>164.73143</v>
      </c>
      <c r="AC783" s="4">
        <v>86.24379</v>
      </c>
      <c r="AD783" s="22"/>
      <c r="AE783" s="22"/>
      <c r="AF783" s="22"/>
      <c r="AG783" s="22"/>
      <c r="AH783" s="20">
        <f>30.64522+44.9696</f>
        <v>75.61482</v>
      </c>
      <c r="AI783" s="4">
        <v>44.9696</v>
      </c>
      <c r="AJ783" s="22">
        <v>30.64522</v>
      </c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4"/>
      <c r="BA783" s="4"/>
      <c r="BB783" s="4"/>
      <c r="BC783" s="22"/>
      <c r="BD783" s="22"/>
      <c r="BE783" s="22">
        <v>33.53026</v>
      </c>
      <c r="BF783" s="22">
        <v>241.56966</v>
      </c>
      <c r="BG783" s="22">
        <v>151.10919</v>
      </c>
      <c r="BH783" s="22"/>
      <c r="BI783" s="22"/>
      <c r="BJ783" s="22"/>
      <c r="BK783" s="22"/>
      <c r="BL783" s="22"/>
      <c r="BM783" s="22"/>
      <c r="BN783" s="22"/>
      <c r="BO783" s="4"/>
      <c r="BP783" s="4"/>
      <c r="BQ783" s="4"/>
      <c r="BR783" s="4"/>
      <c r="BS783" s="4"/>
      <c r="BT783" s="22"/>
      <c r="BU783" s="24"/>
    </row>
    <row r="784" spans="1:73" ht="73.5" customHeight="1" outlineLevel="2">
      <c r="A784" s="46" t="s">
        <v>185</v>
      </c>
      <c r="B784" s="45" t="s">
        <v>513</v>
      </c>
      <c r="C784" s="39">
        <f t="shared" si="125"/>
        <v>268.34999999999997</v>
      </c>
      <c r="D784" s="1">
        <f t="shared" si="123"/>
        <v>0</v>
      </c>
      <c r="E784" s="1">
        <f t="shared" si="124"/>
        <v>268.34999999999997</v>
      </c>
      <c r="F784" s="22"/>
      <c r="G784" s="22"/>
      <c r="H784" s="22"/>
      <c r="I784" s="22"/>
      <c r="J784" s="22"/>
      <c r="K784" s="22"/>
      <c r="L784" s="22"/>
      <c r="M784" s="22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22"/>
      <c r="AA784" s="22"/>
      <c r="AB784" s="23"/>
      <c r="AC784" s="4"/>
      <c r="AD784" s="22"/>
      <c r="AE784" s="22"/>
      <c r="AF784" s="22"/>
      <c r="AG784" s="22"/>
      <c r="AH784" s="20"/>
      <c r="AI784" s="4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>
        <v>224.64</v>
      </c>
      <c r="AY784" s="22"/>
      <c r="AZ784" s="4"/>
      <c r="BA784" s="4"/>
      <c r="BB784" s="4"/>
      <c r="BC784" s="22"/>
      <c r="BD784" s="22"/>
      <c r="BE784" s="22">
        <v>43.71</v>
      </c>
      <c r="BF784" s="22"/>
      <c r="BG784" s="22"/>
      <c r="BH784" s="22"/>
      <c r="BI784" s="22"/>
      <c r="BJ784" s="22"/>
      <c r="BK784" s="22"/>
      <c r="BL784" s="22"/>
      <c r="BM784" s="22"/>
      <c r="BN784" s="22"/>
      <c r="BO784" s="4"/>
      <c r="BP784" s="4"/>
      <c r="BQ784" s="4"/>
      <c r="BR784" s="4"/>
      <c r="BS784" s="4"/>
      <c r="BT784" s="22"/>
      <c r="BU784" s="24"/>
    </row>
    <row r="785" spans="1:73" ht="73.5" customHeight="1" outlineLevel="2">
      <c r="A785" s="46" t="s">
        <v>185</v>
      </c>
      <c r="B785" s="45" t="s">
        <v>808</v>
      </c>
      <c r="C785" s="39">
        <f>D785+E785</f>
        <v>3000</v>
      </c>
      <c r="D785" s="1">
        <f t="shared" si="123"/>
        <v>1500</v>
      </c>
      <c r="E785" s="1">
        <f t="shared" si="124"/>
        <v>1500</v>
      </c>
      <c r="F785" s="22"/>
      <c r="G785" s="22"/>
      <c r="H785" s="22"/>
      <c r="I785" s="22"/>
      <c r="J785" s="22"/>
      <c r="K785" s="22"/>
      <c r="L785" s="22"/>
      <c r="M785" s="22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22"/>
      <c r="AA785" s="22"/>
      <c r="AB785" s="23"/>
      <c r="AC785" s="4"/>
      <c r="AD785" s="22"/>
      <c r="AE785" s="22"/>
      <c r="AF785" s="22"/>
      <c r="AG785" s="22"/>
      <c r="AH785" s="20"/>
      <c r="AI785" s="4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4"/>
      <c r="BA785" s="4"/>
      <c r="BB785" s="4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4">
        <v>1500</v>
      </c>
      <c r="BP785" s="4">
        <v>1500</v>
      </c>
      <c r="BQ785" s="4"/>
      <c r="BR785" s="4"/>
      <c r="BS785" s="4"/>
      <c r="BT785" s="22"/>
      <c r="BU785" s="24"/>
    </row>
    <row r="786" spans="1:73" ht="73.5" customHeight="1" outlineLevel="2">
      <c r="A786" s="46" t="s">
        <v>185</v>
      </c>
      <c r="B786" s="45" t="s">
        <v>850</v>
      </c>
      <c r="C786" s="39">
        <f>D786+E786</f>
        <v>2907</v>
      </c>
      <c r="D786" s="1">
        <f t="shared" si="123"/>
        <v>0</v>
      </c>
      <c r="E786" s="1">
        <f t="shared" si="124"/>
        <v>2907</v>
      </c>
      <c r="F786" s="22"/>
      <c r="G786" s="22"/>
      <c r="H786" s="22"/>
      <c r="I786" s="22"/>
      <c r="J786" s="22"/>
      <c r="K786" s="22"/>
      <c r="L786" s="22"/>
      <c r="M786" s="22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22"/>
      <c r="AA786" s="22"/>
      <c r="AB786" s="23"/>
      <c r="AC786" s="4"/>
      <c r="AD786" s="22"/>
      <c r="AE786" s="22"/>
      <c r="AF786" s="22"/>
      <c r="AG786" s="22"/>
      <c r="AH786" s="20"/>
      <c r="AI786" s="4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4"/>
      <c r="BA786" s="4"/>
      <c r="BB786" s="4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4"/>
      <c r="BP786" s="4">
        <v>2907</v>
      </c>
      <c r="BQ786" s="4"/>
      <c r="BR786" s="4"/>
      <c r="BS786" s="4"/>
      <c r="BT786" s="22"/>
      <c r="BU786" s="24"/>
    </row>
    <row r="787" spans="1:73" ht="73.5" customHeight="1" outlineLevel="2">
      <c r="A787" s="46" t="s">
        <v>185</v>
      </c>
      <c r="B787" s="45" t="s">
        <v>1012</v>
      </c>
      <c r="C787" s="39">
        <f t="shared" si="125"/>
        <v>36.34489000000001</v>
      </c>
      <c r="D787" s="1">
        <f t="shared" si="123"/>
        <v>29.350610000000003</v>
      </c>
      <c r="E787" s="1">
        <f t="shared" si="124"/>
        <v>6.99428</v>
      </c>
      <c r="F787" s="22"/>
      <c r="G787" s="22"/>
      <c r="H787" s="22"/>
      <c r="I787" s="22"/>
      <c r="J787" s="22"/>
      <c r="K787" s="22"/>
      <c r="L787" s="22"/>
      <c r="M787" s="22"/>
      <c r="N787" s="4">
        <v>19.79464</v>
      </c>
      <c r="O787" s="4">
        <v>1.02731</v>
      </c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22"/>
      <c r="AA787" s="22"/>
      <c r="AB787" s="23"/>
      <c r="AC787" s="4"/>
      <c r="AD787" s="22"/>
      <c r="AE787" s="22"/>
      <c r="AF787" s="22"/>
      <c r="AG787" s="22"/>
      <c r="AH787" s="20"/>
      <c r="AI787" s="4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4"/>
      <c r="BA787" s="4"/>
      <c r="BB787" s="4"/>
      <c r="BC787" s="22"/>
      <c r="BD787" s="22"/>
      <c r="BE787" s="22"/>
      <c r="BF787" s="22">
        <v>9.55597</v>
      </c>
      <c r="BG787" s="22">
        <v>5.96697</v>
      </c>
      <c r="BH787" s="22"/>
      <c r="BI787" s="22"/>
      <c r="BJ787" s="22"/>
      <c r="BK787" s="22"/>
      <c r="BL787" s="22"/>
      <c r="BM787" s="22"/>
      <c r="BN787" s="22"/>
      <c r="BO787" s="4"/>
      <c r="BP787" s="4"/>
      <c r="BQ787" s="4"/>
      <c r="BR787" s="4"/>
      <c r="BS787" s="4"/>
      <c r="BT787" s="22"/>
      <c r="BU787" s="24"/>
    </row>
    <row r="788" spans="1:73" ht="73.5" customHeight="1" outlineLevel="2">
      <c r="A788" s="46" t="s">
        <v>185</v>
      </c>
      <c r="B788" s="45" t="s">
        <v>1013</v>
      </c>
      <c r="C788" s="39">
        <f t="shared" si="125"/>
        <v>305.15242</v>
      </c>
      <c r="D788" s="1">
        <f t="shared" si="123"/>
        <v>191.94234999999998</v>
      </c>
      <c r="E788" s="1">
        <f t="shared" si="124"/>
        <v>113.21007</v>
      </c>
      <c r="F788" s="22"/>
      <c r="G788" s="22"/>
      <c r="H788" s="22"/>
      <c r="I788" s="22"/>
      <c r="J788" s="22"/>
      <c r="K788" s="22"/>
      <c r="L788" s="22"/>
      <c r="M788" s="22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22"/>
      <c r="AA788" s="22"/>
      <c r="AB788" s="23">
        <v>65.20624</v>
      </c>
      <c r="AC788" s="4">
        <v>34.03133</v>
      </c>
      <c r="AD788" s="22"/>
      <c r="AE788" s="22"/>
      <c r="AF788" s="22"/>
      <c r="AG788" s="22"/>
      <c r="AH788" s="20"/>
      <c r="AI788" s="4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4"/>
      <c r="BA788" s="4"/>
      <c r="BB788" s="4"/>
      <c r="BC788" s="22"/>
      <c r="BD788" s="22"/>
      <c r="BE788" s="22"/>
      <c r="BF788" s="22">
        <v>126.73611</v>
      </c>
      <c r="BG788" s="22">
        <v>79.17874</v>
      </c>
      <c r="BH788" s="22"/>
      <c r="BI788" s="22"/>
      <c r="BJ788" s="22"/>
      <c r="BK788" s="22"/>
      <c r="BL788" s="22"/>
      <c r="BM788" s="22"/>
      <c r="BN788" s="22"/>
      <c r="BO788" s="4"/>
      <c r="BP788" s="4"/>
      <c r="BQ788" s="4"/>
      <c r="BR788" s="4"/>
      <c r="BS788" s="4"/>
      <c r="BT788" s="22"/>
      <c r="BU788" s="24"/>
    </row>
    <row r="789" spans="1:73" ht="73.5" customHeight="1" outlineLevel="2">
      <c r="A789" s="46" t="s">
        <v>185</v>
      </c>
      <c r="B789" s="45" t="s">
        <v>1014</v>
      </c>
      <c r="C789" s="39">
        <f t="shared" si="125"/>
        <v>95.79945</v>
      </c>
      <c r="D789" s="1">
        <f t="shared" si="123"/>
        <v>60.598119999999994</v>
      </c>
      <c r="E789" s="1">
        <f t="shared" si="124"/>
        <v>35.20133</v>
      </c>
      <c r="F789" s="22"/>
      <c r="G789" s="22"/>
      <c r="H789" s="22"/>
      <c r="I789" s="22"/>
      <c r="J789" s="22"/>
      <c r="K789" s="22"/>
      <c r="L789" s="22"/>
      <c r="M789" s="22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22"/>
      <c r="AA789" s="22"/>
      <c r="AB789" s="23">
        <v>21.38593</v>
      </c>
      <c r="AC789" s="4">
        <v>10.7222</v>
      </c>
      <c r="AD789" s="22"/>
      <c r="AE789" s="22"/>
      <c r="AF789" s="22"/>
      <c r="AG789" s="22"/>
      <c r="AH789" s="20"/>
      <c r="AI789" s="4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4"/>
      <c r="BA789" s="4"/>
      <c r="BB789" s="4"/>
      <c r="BC789" s="22"/>
      <c r="BD789" s="22"/>
      <c r="BE789" s="22"/>
      <c r="BF789" s="22">
        <v>39.21219</v>
      </c>
      <c r="BG789" s="22">
        <v>24.47913</v>
      </c>
      <c r="BH789" s="22"/>
      <c r="BI789" s="22"/>
      <c r="BJ789" s="22"/>
      <c r="BK789" s="22"/>
      <c r="BL789" s="22"/>
      <c r="BM789" s="22"/>
      <c r="BN789" s="22"/>
      <c r="BO789" s="4"/>
      <c r="BP789" s="4"/>
      <c r="BQ789" s="4"/>
      <c r="BR789" s="4"/>
      <c r="BS789" s="4"/>
      <c r="BT789" s="22"/>
      <c r="BU789" s="24"/>
    </row>
    <row r="790" spans="1:73" ht="73.5" customHeight="1" outlineLevel="2">
      <c r="A790" s="46" t="s">
        <v>185</v>
      </c>
      <c r="B790" s="45" t="s">
        <v>1015</v>
      </c>
      <c r="C790" s="39">
        <f t="shared" si="125"/>
        <v>311.69703000000004</v>
      </c>
      <c r="D790" s="1">
        <f t="shared" si="123"/>
        <v>221.67450000000002</v>
      </c>
      <c r="E790" s="1">
        <f t="shared" si="124"/>
        <v>90.02253000000002</v>
      </c>
      <c r="F790" s="22"/>
      <c r="G790" s="22"/>
      <c r="H790" s="22"/>
      <c r="I790" s="22"/>
      <c r="J790" s="22"/>
      <c r="K790" s="22"/>
      <c r="L790" s="22"/>
      <c r="M790" s="22"/>
      <c r="N790" s="4">
        <f>14.83198+50.74316</f>
        <v>65.57514</v>
      </c>
      <c r="O790" s="4">
        <f>0.65436+2.27509</f>
        <v>2.92945</v>
      </c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22">
        <v>10.42547</v>
      </c>
      <c r="AA790" s="22"/>
      <c r="AB790" s="23">
        <v>36.1053</v>
      </c>
      <c r="AC790" s="4">
        <v>18.64731</v>
      </c>
      <c r="AD790" s="22"/>
      <c r="AE790" s="22"/>
      <c r="AF790" s="22"/>
      <c r="AG790" s="22"/>
      <c r="AH790" s="20"/>
      <c r="AI790" s="4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4"/>
      <c r="BA790" s="4"/>
      <c r="BB790" s="4"/>
      <c r="BC790" s="22"/>
      <c r="BD790" s="22"/>
      <c r="BE790" s="22"/>
      <c r="BF790" s="22">
        <f>112.74232-3.17373</f>
        <v>109.56859</v>
      </c>
      <c r="BG790" s="22">
        <f>70.43868-1.99291</f>
        <v>68.44577000000001</v>
      </c>
      <c r="BH790" s="22"/>
      <c r="BI790" s="22"/>
      <c r="BJ790" s="22"/>
      <c r="BK790" s="22"/>
      <c r="BL790" s="22"/>
      <c r="BM790" s="22"/>
      <c r="BN790" s="22"/>
      <c r="BO790" s="4"/>
      <c r="BP790" s="4"/>
      <c r="BQ790" s="4"/>
      <c r="BR790" s="4"/>
      <c r="BS790" s="4"/>
      <c r="BT790" s="22"/>
      <c r="BU790" s="24"/>
    </row>
    <row r="791" spans="1:73" ht="73.5" customHeight="1" outlineLevel="2">
      <c r="A791" s="46" t="s">
        <v>185</v>
      </c>
      <c r="B791" s="45" t="s">
        <v>1016</v>
      </c>
      <c r="C791" s="39">
        <f t="shared" si="125"/>
        <v>1257.14167</v>
      </c>
      <c r="D791" s="1">
        <f t="shared" si="123"/>
        <v>562.24645</v>
      </c>
      <c r="E791" s="1">
        <f t="shared" si="124"/>
        <v>694.8952200000001</v>
      </c>
      <c r="F791" s="22"/>
      <c r="G791" s="22"/>
      <c r="H791" s="22"/>
      <c r="I791" s="22"/>
      <c r="J791" s="22">
        <v>129.78214</v>
      </c>
      <c r="K791" s="22">
        <v>74.59978</v>
      </c>
      <c r="L791" s="22"/>
      <c r="M791" s="22"/>
      <c r="N791" s="4">
        <v>26.66689</v>
      </c>
      <c r="O791" s="4">
        <v>1.38543</v>
      </c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22"/>
      <c r="AA791" s="22"/>
      <c r="AB791" s="23">
        <v>188.70707</v>
      </c>
      <c r="AC791" s="4">
        <v>75.75468</v>
      </c>
      <c r="AD791" s="22"/>
      <c r="AE791" s="22"/>
      <c r="AF791" s="22"/>
      <c r="AG791" s="22"/>
      <c r="AH791" s="20"/>
      <c r="AI791" s="4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4"/>
      <c r="BA791" s="4"/>
      <c r="BB791" s="4"/>
      <c r="BC791" s="22"/>
      <c r="BD791" s="22"/>
      <c r="BE791" s="22">
        <v>407.5</v>
      </c>
      <c r="BF791" s="22">
        <v>217.09035</v>
      </c>
      <c r="BG791" s="22">
        <v>135.65533</v>
      </c>
      <c r="BH791" s="22"/>
      <c r="BI791" s="22"/>
      <c r="BJ791" s="22"/>
      <c r="BK791" s="22"/>
      <c r="BL791" s="22"/>
      <c r="BM791" s="22"/>
      <c r="BN791" s="22"/>
      <c r="BO791" s="4"/>
      <c r="BP791" s="4"/>
      <c r="BQ791" s="4"/>
      <c r="BR791" s="4"/>
      <c r="BS791" s="4"/>
      <c r="BT791" s="22"/>
      <c r="BU791" s="24"/>
    </row>
    <row r="792" spans="1:73" ht="73.5" customHeight="1" outlineLevel="2">
      <c r="A792" s="46" t="s">
        <v>185</v>
      </c>
      <c r="B792" s="45" t="s">
        <v>1017</v>
      </c>
      <c r="C792" s="39">
        <f t="shared" si="125"/>
        <v>1005.77485</v>
      </c>
      <c r="D792" s="1">
        <f t="shared" si="123"/>
        <v>176.77843000000001</v>
      </c>
      <c r="E792" s="1">
        <f t="shared" si="124"/>
        <v>828.99642</v>
      </c>
      <c r="F792" s="22"/>
      <c r="G792" s="22"/>
      <c r="H792" s="22"/>
      <c r="I792" s="22"/>
      <c r="J792" s="22"/>
      <c r="K792" s="22"/>
      <c r="L792" s="22"/>
      <c r="M792" s="22"/>
      <c r="N792" s="4">
        <f>17.31874+33.30202</f>
        <v>50.62076</v>
      </c>
      <c r="O792" s="4">
        <f>0.77911+1.48227</f>
        <v>2.26138</v>
      </c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22"/>
      <c r="AA792" s="22"/>
      <c r="AB792" s="23">
        <v>41.92841</v>
      </c>
      <c r="AC792" s="4">
        <v>20.97822</v>
      </c>
      <c r="AD792" s="22"/>
      <c r="AE792" s="22"/>
      <c r="AF792" s="22"/>
      <c r="AG792" s="22"/>
      <c r="AH792" s="20"/>
      <c r="AI792" s="4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4"/>
      <c r="BA792" s="4"/>
      <c r="BB792" s="4"/>
      <c r="BC792" s="22"/>
      <c r="BD792" s="22">
        <f>258.61915+494.53246</f>
        <v>753.15161</v>
      </c>
      <c r="BE792" s="22"/>
      <c r="BF792" s="22">
        <v>84.22926</v>
      </c>
      <c r="BG792" s="22">
        <v>52.60521</v>
      </c>
      <c r="BH792" s="22"/>
      <c r="BI792" s="22"/>
      <c r="BJ792" s="22"/>
      <c r="BK792" s="22"/>
      <c r="BL792" s="22"/>
      <c r="BM792" s="22"/>
      <c r="BN792" s="22"/>
      <c r="BO792" s="4"/>
      <c r="BP792" s="4"/>
      <c r="BQ792" s="4"/>
      <c r="BR792" s="4"/>
      <c r="BS792" s="4"/>
      <c r="BT792" s="22"/>
      <c r="BU792" s="24"/>
    </row>
    <row r="793" spans="1:73" ht="73.5" customHeight="1" outlineLevel="2">
      <c r="A793" s="46" t="s">
        <v>185</v>
      </c>
      <c r="B793" s="45" t="s">
        <v>1018</v>
      </c>
      <c r="C793" s="39">
        <f t="shared" si="125"/>
        <v>510.27389000000005</v>
      </c>
      <c r="D793" s="1">
        <f t="shared" si="123"/>
        <v>274.63237000000004</v>
      </c>
      <c r="E793" s="1">
        <f t="shared" si="124"/>
        <v>235.64151999999999</v>
      </c>
      <c r="F793" s="22"/>
      <c r="G793" s="22"/>
      <c r="H793" s="22"/>
      <c r="I793" s="22"/>
      <c r="J793" s="22"/>
      <c r="K793" s="22"/>
      <c r="L793" s="22">
        <v>60.42689</v>
      </c>
      <c r="M793" s="22"/>
      <c r="N793" s="4">
        <f>25.76321+33.63942</f>
        <v>59.40263</v>
      </c>
      <c r="O793" s="4">
        <f>1.1542+1.49857</f>
        <v>2.65277</v>
      </c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22">
        <v>6.95032</v>
      </c>
      <c r="AA793" s="22">
        <v>16.2</v>
      </c>
      <c r="AB793" s="23">
        <v>70.7171</v>
      </c>
      <c r="AC793" s="4">
        <v>35.66297</v>
      </c>
      <c r="AD793" s="22"/>
      <c r="AE793" s="22"/>
      <c r="AF793" s="22"/>
      <c r="AG793" s="22"/>
      <c r="AH793" s="20"/>
      <c r="AI793" s="4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4"/>
      <c r="BA793" s="4"/>
      <c r="BB793" s="4"/>
      <c r="BC793" s="22"/>
      <c r="BD793" s="22"/>
      <c r="BE793" s="22">
        <v>34.79212</v>
      </c>
      <c r="BF793" s="22">
        <f>143.16302-5.6007</f>
        <v>137.56232</v>
      </c>
      <c r="BG793" s="22">
        <f>89.42367-3.5169</f>
        <v>85.90677</v>
      </c>
      <c r="BH793" s="22"/>
      <c r="BI793" s="22"/>
      <c r="BJ793" s="22"/>
      <c r="BK793" s="22"/>
      <c r="BL793" s="22"/>
      <c r="BM793" s="22"/>
      <c r="BN793" s="22"/>
      <c r="BO793" s="4"/>
      <c r="BP793" s="4"/>
      <c r="BQ793" s="4"/>
      <c r="BR793" s="4"/>
      <c r="BS793" s="4"/>
      <c r="BT793" s="22"/>
      <c r="BU793" s="24"/>
    </row>
    <row r="794" spans="1:73" ht="73.5" customHeight="1" outlineLevel="2">
      <c r="A794" s="46" t="s">
        <v>185</v>
      </c>
      <c r="B794" s="45" t="s">
        <v>1019</v>
      </c>
      <c r="C794" s="39">
        <f t="shared" si="125"/>
        <v>705.37937</v>
      </c>
      <c r="D794" s="1">
        <f t="shared" si="123"/>
        <v>257.04655</v>
      </c>
      <c r="E794" s="1">
        <f t="shared" si="124"/>
        <v>448.33281999999997</v>
      </c>
      <c r="F794" s="22"/>
      <c r="G794" s="22"/>
      <c r="H794" s="22"/>
      <c r="I794" s="22"/>
      <c r="J794" s="22"/>
      <c r="K794" s="22"/>
      <c r="L794" s="22">
        <v>313.68165</v>
      </c>
      <c r="M794" s="22"/>
      <c r="N794" s="4">
        <v>53.126</v>
      </c>
      <c r="O794" s="4">
        <f>2.39638</f>
        <v>2.39638</v>
      </c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22">
        <v>6.95032</v>
      </c>
      <c r="AA794" s="22">
        <v>16.2</v>
      </c>
      <c r="AB794" s="23">
        <v>61.47384</v>
      </c>
      <c r="AC794" s="4">
        <v>31.46733</v>
      </c>
      <c r="AD794" s="22"/>
      <c r="AE794" s="22"/>
      <c r="AF794" s="22"/>
      <c r="AG794" s="22"/>
      <c r="AH794" s="20"/>
      <c r="AI794" s="4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4"/>
      <c r="BA794" s="4"/>
      <c r="BB794" s="4"/>
      <c r="BC794" s="22"/>
      <c r="BD794" s="22"/>
      <c r="BE794" s="22"/>
      <c r="BF794" s="22">
        <v>135.49639</v>
      </c>
      <c r="BG794" s="22">
        <v>84.58746</v>
      </c>
      <c r="BH794" s="22"/>
      <c r="BI794" s="22"/>
      <c r="BJ794" s="22"/>
      <c r="BK794" s="22"/>
      <c r="BL794" s="22"/>
      <c r="BM794" s="22"/>
      <c r="BN794" s="22"/>
      <c r="BO794" s="4"/>
      <c r="BP794" s="4"/>
      <c r="BQ794" s="4"/>
      <c r="BR794" s="4"/>
      <c r="BS794" s="4"/>
      <c r="BT794" s="22"/>
      <c r="BU794" s="24"/>
    </row>
    <row r="795" spans="1:73" ht="73.5" customHeight="1" outlineLevel="2">
      <c r="A795" s="46" t="s">
        <v>185</v>
      </c>
      <c r="B795" s="45" t="s">
        <v>1020</v>
      </c>
      <c r="C795" s="39">
        <f t="shared" si="125"/>
        <v>519.3364799999999</v>
      </c>
      <c r="D795" s="1">
        <f t="shared" si="123"/>
        <v>212.75439999999998</v>
      </c>
      <c r="E795" s="1">
        <f t="shared" si="124"/>
        <v>306.58208</v>
      </c>
      <c r="F795" s="22"/>
      <c r="G795" s="22"/>
      <c r="H795" s="22"/>
      <c r="I795" s="22"/>
      <c r="J795" s="22"/>
      <c r="K795" s="22"/>
      <c r="L795" s="22"/>
      <c r="M795" s="22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22"/>
      <c r="AA795" s="22"/>
      <c r="AB795" s="23">
        <v>71.85419</v>
      </c>
      <c r="AC795" s="4">
        <v>37.76079</v>
      </c>
      <c r="AD795" s="22"/>
      <c r="AE795" s="22"/>
      <c r="AF795" s="22"/>
      <c r="AG795" s="22"/>
      <c r="AH795" s="20"/>
      <c r="AI795" s="4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4"/>
      <c r="BA795" s="4"/>
      <c r="BB795" s="4"/>
      <c r="BC795" s="22"/>
      <c r="BD795" s="22"/>
      <c r="BE795" s="22">
        <v>180.90106</v>
      </c>
      <c r="BF795" s="22">
        <v>140.90021</v>
      </c>
      <c r="BG795" s="22">
        <v>87.92023</v>
      </c>
      <c r="BH795" s="22"/>
      <c r="BI795" s="22"/>
      <c r="BJ795" s="22"/>
      <c r="BK795" s="22"/>
      <c r="BL795" s="22"/>
      <c r="BM795" s="22"/>
      <c r="BN795" s="22"/>
      <c r="BO795" s="4"/>
      <c r="BP795" s="4"/>
      <c r="BQ795" s="4"/>
      <c r="BR795" s="4"/>
      <c r="BS795" s="4"/>
      <c r="BT795" s="22"/>
      <c r="BU795" s="24"/>
    </row>
    <row r="796" spans="1:73" ht="73.5" customHeight="1" outlineLevel="2">
      <c r="A796" s="46" t="s">
        <v>185</v>
      </c>
      <c r="B796" s="45" t="s">
        <v>1021</v>
      </c>
      <c r="C796" s="39">
        <f t="shared" si="125"/>
        <v>313.32280000000003</v>
      </c>
      <c r="D796" s="1">
        <f t="shared" si="123"/>
        <v>207.46286</v>
      </c>
      <c r="E796" s="1">
        <f t="shared" si="124"/>
        <v>105.85994</v>
      </c>
      <c r="F796" s="22"/>
      <c r="G796" s="22"/>
      <c r="H796" s="22"/>
      <c r="I796" s="22"/>
      <c r="J796" s="22">
        <v>48.54209</v>
      </c>
      <c r="K796" s="22">
        <v>12.51435</v>
      </c>
      <c r="L796" s="22"/>
      <c r="M796" s="22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22"/>
      <c r="AA796" s="22"/>
      <c r="AB796" s="23">
        <v>50.55167</v>
      </c>
      <c r="AC796" s="4">
        <v>25.64005</v>
      </c>
      <c r="AD796" s="22"/>
      <c r="AE796" s="22"/>
      <c r="AF796" s="22"/>
      <c r="AG796" s="22"/>
      <c r="AH796" s="20"/>
      <c r="AI796" s="4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4"/>
      <c r="BA796" s="4"/>
      <c r="BB796" s="4"/>
      <c r="BC796" s="22"/>
      <c r="BD796" s="22"/>
      <c r="BE796" s="22"/>
      <c r="BF796" s="22">
        <v>108.3691</v>
      </c>
      <c r="BG796" s="22">
        <v>67.70554</v>
      </c>
      <c r="BH796" s="22"/>
      <c r="BI796" s="22"/>
      <c r="BJ796" s="22"/>
      <c r="BK796" s="22"/>
      <c r="BL796" s="22"/>
      <c r="BM796" s="22"/>
      <c r="BN796" s="22"/>
      <c r="BO796" s="4"/>
      <c r="BP796" s="4"/>
      <c r="BQ796" s="4"/>
      <c r="BR796" s="4"/>
      <c r="BS796" s="4"/>
      <c r="BT796" s="22"/>
      <c r="BU796" s="24"/>
    </row>
    <row r="797" spans="1:73" ht="73.5" customHeight="1" outlineLevel="2">
      <c r="A797" s="26" t="s">
        <v>185</v>
      </c>
      <c r="B797" s="27" t="s">
        <v>1022</v>
      </c>
      <c r="C797" s="39">
        <f t="shared" si="125"/>
        <v>834.89517</v>
      </c>
      <c r="D797" s="1">
        <f t="shared" si="123"/>
        <v>549.50955</v>
      </c>
      <c r="E797" s="1">
        <f t="shared" si="124"/>
        <v>285.38562</v>
      </c>
      <c r="F797" s="22"/>
      <c r="G797" s="22"/>
      <c r="H797" s="22"/>
      <c r="I797" s="22"/>
      <c r="J797" s="22"/>
      <c r="K797" s="22"/>
      <c r="L797" s="22"/>
      <c r="M797" s="22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22"/>
      <c r="AA797" s="22"/>
      <c r="AB797" s="23">
        <v>302.63811</v>
      </c>
      <c r="AC797" s="4">
        <v>130.99732</v>
      </c>
      <c r="AD797" s="22"/>
      <c r="AE797" s="22"/>
      <c r="AF797" s="22"/>
      <c r="AG797" s="22"/>
      <c r="AH797" s="20"/>
      <c r="AI797" s="4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4"/>
      <c r="BA797" s="4"/>
      <c r="BB797" s="4"/>
      <c r="BC797" s="22"/>
      <c r="BD797" s="22"/>
      <c r="BE797" s="22"/>
      <c r="BF797" s="22">
        <v>246.87144</v>
      </c>
      <c r="BG797" s="22">
        <v>154.3883</v>
      </c>
      <c r="BH797" s="22"/>
      <c r="BI797" s="22"/>
      <c r="BJ797" s="22"/>
      <c r="BK797" s="22"/>
      <c r="BL797" s="22"/>
      <c r="BM797" s="22"/>
      <c r="BN797" s="22"/>
      <c r="BO797" s="4"/>
      <c r="BP797" s="4"/>
      <c r="BQ797" s="4"/>
      <c r="BR797" s="4"/>
      <c r="BS797" s="4"/>
      <c r="BT797" s="22"/>
      <c r="BU797" s="24"/>
    </row>
    <row r="798" spans="1:73" ht="73.5" customHeight="1" outlineLevel="2">
      <c r="A798" s="46" t="s">
        <v>185</v>
      </c>
      <c r="B798" s="45" t="s">
        <v>1023</v>
      </c>
      <c r="C798" s="39">
        <f t="shared" si="125"/>
        <v>106.77413000000001</v>
      </c>
      <c r="D798" s="1">
        <f t="shared" si="123"/>
        <v>74.71715</v>
      </c>
      <c r="E798" s="1">
        <f t="shared" si="124"/>
        <v>32.05698</v>
      </c>
      <c r="F798" s="22"/>
      <c r="G798" s="22"/>
      <c r="H798" s="22"/>
      <c r="I798" s="22"/>
      <c r="J798" s="22"/>
      <c r="K798" s="22"/>
      <c r="L798" s="22"/>
      <c r="M798" s="22"/>
      <c r="N798" s="4">
        <f>22.02519</f>
        <v>22.02519</v>
      </c>
      <c r="O798" s="4">
        <f>0.98746</f>
        <v>0.98746</v>
      </c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22"/>
      <c r="AA798" s="22"/>
      <c r="AB798" s="23">
        <v>15.25174</v>
      </c>
      <c r="AC798" s="4">
        <v>7.69201</v>
      </c>
      <c r="AD798" s="22"/>
      <c r="AE798" s="22"/>
      <c r="AF798" s="22"/>
      <c r="AG798" s="22"/>
      <c r="AH798" s="20"/>
      <c r="AI798" s="4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4"/>
      <c r="BA798" s="4"/>
      <c r="BB798" s="4"/>
      <c r="BC798" s="22"/>
      <c r="BD798" s="22"/>
      <c r="BE798" s="22"/>
      <c r="BF798" s="22">
        <v>37.44022</v>
      </c>
      <c r="BG798" s="22">
        <v>23.37751</v>
      </c>
      <c r="BH798" s="22"/>
      <c r="BI798" s="22"/>
      <c r="BJ798" s="22"/>
      <c r="BK798" s="22"/>
      <c r="BL798" s="22"/>
      <c r="BM798" s="22"/>
      <c r="BN798" s="22"/>
      <c r="BO798" s="4"/>
      <c r="BP798" s="4"/>
      <c r="BQ798" s="4"/>
      <c r="BR798" s="4"/>
      <c r="BS798" s="4"/>
      <c r="BT798" s="22"/>
      <c r="BU798" s="24"/>
    </row>
    <row r="799" spans="1:73" ht="73.5" customHeight="1" outlineLevel="2">
      <c r="A799" s="46" t="s">
        <v>185</v>
      </c>
      <c r="B799" s="45" t="s">
        <v>1024</v>
      </c>
      <c r="C799" s="39">
        <f t="shared" si="125"/>
        <v>690.0645400000001</v>
      </c>
      <c r="D799" s="1">
        <f t="shared" si="123"/>
        <v>434.23400000000004</v>
      </c>
      <c r="E799" s="1">
        <f t="shared" si="124"/>
        <v>255.83053999999998</v>
      </c>
      <c r="F799" s="22"/>
      <c r="G799" s="22"/>
      <c r="H799" s="22"/>
      <c r="I799" s="22"/>
      <c r="J799" s="22"/>
      <c r="K799" s="22"/>
      <c r="L799" s="22"/>
      <c r="M799" s="22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22"/>
      <c r="AA799" s="22"/>
      <c r="AB799" s="23">
        <v>123.33388</v>
      </c>
      <c r="AC799" s="4">
        <v>61.7692</v>
      </c>
      <c r="AD799" s="22"/>
      <c r="AE799" s="22"/>
      <c r="AF799" s="22"/>
      <c r="AG799" s="22"/>
      <c r="AH799" s="20"/>
      <c r="AI799" s="4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4"/>
      <c r="BA799" s="4"/>
      <c r="BB799" s="4"/>
      <c r="BC799" s="22"/>
      <c r="BD799" s="22"/>
      <c r="BE799" s="22"/>
      <c r="BF799" s="22">
        <v>310.90012</v>
      </c>
      <c r="BG799" s="22">
        <v>194.06134</v>
      </c>
      <c r="BH799" s="22"/>
      <c r="BI799" s="22"/>
      <c r="BJ799" s="22"/>
      <c r="BK799" s="22"/>
      <c r="BL799" s="22"/>
      <c r="BM799" s="22"/>
      <c r="BN799" s="22"/>
      <c r="BO799" s="4"/>
      <c r="BP799" s="4"/>
      <c r="BQ799" s="4"/>
      <c r="BR799" s="4"/>
      <c r="BS799" s="4"/>
      <c r="BT799" s="22"/>
      <c r="BU799" s="24"/>
    </row>
    <row r="800" spans="1:73" ht="73.5" customHeight="1" outlineLevel="2" thickBot="1">
      <c r="A800" s="46" t="s">
        <v>185</v>
      </c>
      <c r="B800" s="45" t="s">
        <v>1025</v>
      </c>
      <c r="C800" s="39">
        <f t="shared" si="125"/>
        <v>209.13712999999998</v>
      </c>
      <c r="D800" s="1">
        <f t="shared" si="123"/>
        <v>141.60096</v>
      </c>
      <c r="E800" s="1">
        <f t="shared" si="124"/>
        <v>67.53617</v>
      </c>
      <c r="F800" s="22"/>
      <c r="G800" s="22"/>
      <c r="H800" s="22"/>
      <c r="I800" s="22"/>
      <c r="J800" s="22"/>
      <c r="K800" s="22"/>
      <c r="L800" s="22"/>
      <c r="M800" s="22"/>
      <c r="N800" s="4">
        <f>29.78581</f>
        <v>29.78581</v>
      </c>
      <c r="O800" s="4">
        <v>1.5438</v>
      </c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22"/>
      <c r="AA800" s="22"/>
      <c r="AB800" s="23">
        <v>35.22698</v>
      </c>
      <c r="AC800" s="4">
        <v>18.18112</v>
      </c>
      <c r="AD800" s="22"/>
      <c r="AE800" s="22"/>
      <c r="AF800" s="22"/>
      <c r="AG800" s="22"/>
      <c r="AH800" s="20"/>
      <c r="AI800" s="4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4"/>
      <c r="BA800" s="4"/>
      <c r="BB800" s="4"/>
      <c r="BC800" s="22"/>
      <c r="BD800" s="22"/>
      <c r="BE800" s="22"/>
      <c r="BF800" s="22">
        <v>76.58817</v>
      </c>
      <c r="BG800" s="22">
        <v>47.81125</v>
      </c>
      <c r="BH800" s="22"/>
      <c r="BI800" s="22"/>
      <c r="BJ800" s="22"/>
      <c r="BK800" s="22"/>
      <c r="BL800" s="22"/>
      <c r="BM800" s="22"/>
      <c r="BN800" s="22"/>
      <c r="BO800" s="4"/>
      <c r="BP800" s="4"/>
      <c r="BQ800" s="4"/>
      <c r="BR800" s="4"/>
      <c r="BS800" s="4"/>
      <c r="BT800" s="22"/>
      <c r="BU800" s="24"/>
    </row>
    <row r="801" spans="1:74" s="35" customFormat="1" ht="73.5" customHeight="1" outlineLevel="1" thickBot="1">
      <c r="A801" s="53" t="s">
        <v>16</v>
      </c>
      <c r="B801" s="54"/>
      <c r="C801" s="49">
        <f aca="true" t="shared" si="126" ref="C801:BN801">SUBTOTAL(9,C740:C800)</f>
        <v>175097.49976000004</v>
      </c>
      <c r="D801" s="49">
        <f t="shared" si="126"/>
        <v>65060.73854000001</v>
      </c>
      <c r="E801" s="49">
        <f t="shared" si="126"/>
        <v>110036.76121999996</v>
      </c>
      <c r="F801" s="49">
        <f t="shared" si="126"/>
        <v>13.01745</v>
      </c>
      <c r="G801" s="49">
        <f t="shared" si="126"/>
        <v>5.1882399999999995</v>
      </c>
      <c r="H801" s="49">
        <f t="shared" si="126"/>
        <v>3478.84158</v>
      </c>
      <c r="I801" s="49">
        <f t="shared" si="126"/>
        <v>2805.27379</v>
      </c>
      <c r="J801" s="49">
        <f t="shared" si="126"/>
        <v>4051.6484599999985</v>
      </c>
      <c r="K801" s="49">
        <f t="shared" si="126"/>
        <v>1967.99877</v>
      </c>
      <c r="L801" s="49">
        <f t="shared" si="126"/>
        <v>2867.34459</v>
      </c>
      <c r="M801" s="49">
        <f t="shared" si="126"/>
        <v>34192.8768</v>
      </c>
      <c r="N801" s="49">
        <f t="shared" si="126"/>
        <v>1439.5592500000002</v>
      </c>
      <c r="O801" s="49">
        <f t="shared" si="126"/>
        <v>66.09393</v>
      </c>
      <c r="P801" s="49">
        <f t="shared" si="126"/>
        <v>0</v>
      </c>
      <c r="Q801" s="49">
        <f t="shared" si="126"/>
        <v>0</v>
      </c>
      <c r="R801" s="49">
        <f t="shared" si="126"/>
        <v>0</v>
      </c>
      <c r="S801" s="49">
        <f t="shared" si="126"/>
        <v>0</v>
      </c>
      <c r="T801" s="49">
        <f t="shared" si="126"/>
        <v>0</v>
      </c>
      <c r="U801" s="49">
        <f t="shared" si="126"/>
        <v>0</v>
      </c>
      <c r="V801" s="49">
        <f t="shared" si="126"/>
        <v>0</v>
      </c>
      <c r="W801" s="49">
        <f t="shared" si="126"/>
        <v>0</v>
      </c>
      <c r="X801" s="49">
        <f t="shared" si="126"/>
        <v>0</v>
      </c>
      <c r="Y801" s="49">
        <f t="shared" si="126"/>
        <v>0</v>
      </c>
      <c r="Z801" s="49">
        <f t="shared" si="126"/>
        <v>1605.2890499999999</v>
      </c>
      <c r="AA801" s="49">
        <f t="shared" si="126"/>
        <v>1464.3045</v>
      </c>
      <c r="AB801" s="49">
        <f t="shared" si="126"/>
        <v>10586.5494</v>
      </c>
      <c r="AC801" s="49">
        <f t="shared" si="126"/>
        <v>4757.626900000002</v>
      </c>
      <c r="AD801" s="49">
        <f t="shared" si="126"/>
        <v>0</v>
      </c>
      <c r="AE801" s="49">
        <f t="shared" si="126"/>
        <v>0</v>
      </c>
      <c r="AF801" s="49">
        <f t="shared" si="126"/>
        <v>0</v>
      </c>
      <c r="AG801" s="49">
        <f t="shared" si="126"/>
        <v>0</v>
      </c>
      <c r="AH801" s="49">
        <f t="shared" si="126"/>
        <v>4862.29973</v>
      </c>
      <c r="AI801" s="49">
        <f t="shared" si="126"/>
        <v>2772.7053500000006</v>
      </c>
      <c r="AJ801" s="49">
        <f t="shared" si="126"/>
        <v>2089.59438</v>
      </c>
      <c r="AK801" s="49">
        <f t="shared" si="126"/>
        <v>0</v>
      </c>
      <c r="AL801" s="49">
        <f t="shared" si="126"/>
        <v>0</v>
      </c>
      <c r="AM801" s="49">
        <f t="shared" si="126"/>
        <v>7825.788</v>
      </c>
      <c r="AN801" s="49">
        <f t="shared" si="126"/>
        <v>2633.904</v>
      </c>
      <c r="AO801" s="49">
        <f t="shared" si="126"/>
        <v>0</v>
      </c>
      <c r="AP801" s="49">
        <f t="shared" si="126"/>
        <v>0</v>
      </c>
      <c r="AQ801" s="49">
        <f t="shared" si="126"/>
        <v>0</v>
      </c>
      <c r="AR801" s="49">
        <f t="shared" si="126"/>
        <v>0</v>
      </c>
      <c r="AS801" s="49">
        <f t="shared" si="126"/>
        <v>0</v>
      </c>
      <c r="AT801" s="49">
        <f t="shared" si="126"/>
        <v>538.30018</v>
      </c>
      <c r="AU801" s="49">
        <f t="shared" si="126"/>
        <v>1225</v>
      </c>
      <c r="AV801" s="49">
        <f t="shared" si="126"/>
        <v>0</v>
      </c>
      <c r="AW801" s="49">
        <f t="shared" si="126"/>
        <v>664.4240000000001</v>
      </c>
      <c r="AX801" s="49">
        <f t="shared" si="126"/>
        <v>5133.44</v>
      </c>
      <c r="AY801" s="49">
        <f t="shared" si="126"/>
        <v>11195.38238</v>
      </c>
      <c r="AZ801" s="49">
        <f t="shared" si="126"/>
        <v>8869.96526</v>
      </c>
      <c r="BA801" s="49">
        <f t="shared" si="126"/>
        <v>0</v>
      </c>
      <c r="BB801" s="49">
        <f t="shared" si="126"/>
        <v>0</v>
      </c>
      <c r="BC801" s="49">
        <f t="shared" si="126"/>
        <v>0</v>
      </c>
      <c r="BD801" s="49">
        <f t="shared" si="126"/>
        <v>954.54541</v>
      </c>
      <c r="BE801" s="49">
        <f t="shared" si="126"/>
        <v>17721.78789</v>
      </c>
      <c r="BF801" s="49">
        <f t="shared" si="126"/>
        <v>21326.36279</v>
      </c>
      <c r="BG801" s="49">
        <f t="shared" si="126"/>
        <v>13317.69877999999</v>
      </c>
      <c r="BH801" s="49">
        <f t="shared" si="126"/>
        <v>0</v>
      </c>
      <c r="BI801" s="49">
        <f t="shared" si="126"/>
        <v>0</v>
      </c>
      <c r="BJ801" s="49">
        <f t="shared" si="126"/>
        <v>1110.78863</v>
      </c>
      <c r="BK801" s="49">
        <f t="shared" si="126"/>
        <v>0</v>
      </c>
      <c r="BL801" s="49">
        <f t="shared" si="126"/>
        <v>0</v>
      </c>
      <c r="BM801" s="49">
        <f t="shared" si="126"/>
        <v>0</v>
      </c>
      <c r="BN801" s="49">
        <f t="shared" si="126"/>
        <v>0</v>
      </c>
      <c r="BO801" s="49">
        <f aca="true" t="shared" si="127" ref="BO801:BT801">SUBTOTAL(9,BO740:BO800)</f>
        <v>3000</v>
      </c>
      <c r="BP801" s="49">
        <f t="shared" si="127"/>
        <v>5416.2</v>
      </c>
      <c r="BQ801" s="49">
        <f t="shared" si="127"/>
        <v>0</v>
      </c>
      <c r="BR801" s="49">
        <f t="shared" si="127"/>
        <v>0</v>
      </c>
      <c r="BS801" s="2">
        <f t="shared" si="127"/>
        <v>0</v>
      </c>
      <c r="BT801" s="2">
        <f t="shared" si="127"/>
        <v>0</v>
      </c>
      <c r="BU801" s="50"/>
      <c r="BV801" s="34"/>
    </row>
    <row r="802" spans="1:73" ht="73.5" customHeight="1" outlineLevel="3">
      <c r="A802" s="36" t="s">
        <v>17</v>
      </c>
      <c r="B802" s="45" t="s">
        <v>188</v>
      </c>
      <c r="C802" s="39">
        <f aca="true" t="shared" si="128" ref="C802:C811">D802+E802</f>
        <v>1330.18907</v>
      </c>
      <c r="D802" s="1">
        <f aca="true" t="shared" si="129" ref="D802:D811">F802+J802+N802+R802+T802+Z802+AB802+AD802+AF802+AM802+AO802+AT802+AY802+BF802+BO802+BS802+H802+V802+X802+BQ802+AR802+BH802</f>
        <v>736.22956</v>
      </c>
      <c r="E802" s="1">
        <f aca="true" t="shared" si="130" ref="E802:E811">G802+I802+K802+L802+M802+O802+P802+Q802+S802+U802+W802+Y802+AA802+AC802+AE802+AG802+AH802+AK802+AL802+AN802+AP802+AQ802+AS802+AU802+AV802+AW802+AX802+AZ802+BA802+BB802+BC802+BD802+BE802+BG802+BI802+BJ802+BK802+BL802+BM802+BN802+BU802+BP802+BR802+BT802</f>
        <v>593.95951</v>
      </c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1"/>
      <c r="AA802" s="41">
        <v>31.0635</v>
      </c>
      <c r="AB802" s="41">
        <v>296.84586</v>
      </c>
      <c r="AC802" s="41">
        <v>129.13259</v>
      </c>
      <c r="AD802" s="43"/>
      <c r="AE802" s="43"/>
      <c r="AF802" s="43"/>
      <c r="AG802" s="43"/>
      <c r="AH802" s="43">
        <f>73.90906+85.45415</f>
        <v>159.36320999999998</v>
      </c>
      <c r="AI802" s="43">
        <v>85.45415</v>
      </c>
      <c r="AJ802" s="43">
        <v>73.90906</v>
      </c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1">
        <v>439.3837</v>
      </c>
      <c r="BG802" s="22">
        <v>274.40021</v>
      </c>
      <c r="BH802" s="40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20"/>
      <c r="BT802" s="20"/>
      <c r="BU802" s="7"/>
    </row>
    <row r="803" spans="1:73" ht="73.5" customHeight="1" outlineLevel="3">
      <c r="A803" s="36" t="s">
        <v>17</v>
      </c>
      <c r="B803" s="45" t="s">
        <v>88</v>
      </c>
      <c r="C803" s="39">
        <f t="shared" si="128"/>
        <v>21303.785320000003</v>
      </c>
      <c r="D803" s="1">
        <f t="shared" si="129"/>
        <v>10078.38916</v>
      </c>
      <c r="E803" s="1">
        <f t="shared" si="130"/>
        <v>11225.39616</v>
      </c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>
        <v>945.97997</v>
      </c>
      <c r="Q803" s="43"/>
      <c r="R803" s="43">
        <v>5313.58346</v>
      </c>
      <c r="S803" s="41">
        <v>4522.77378</v>
      </c>
      <c r="T803" s="43"/>
      <c r="U803" s="43"/>
      <c r="V803" s="43"/>
      <c r="W803" s="43"/>
      <c r="X803" s="43"/>
      <c r="Y803" s="43"/>
      <c r="Z803" s="41">
        <v>315</v>
      </c>
      <c r="AA803" s="41">
        <v>167.184</v>
      </c>
      <c r="AB803" s="41">
        <v>1738.53207</v>
      </c>
      <c r="AC803" s="28">
        <v>874.09244</v>
      </c>
      <c r="AD803" s="43"/>
      <c r="AE803" s="43"/>
      <c r="AF803" s="43"/>
      <c r="AG803" s="43"/>
      <c r="AH803" s="43">
        <f>423.6251+568.1927</f>
        <v>991.8177999999999</v>
      </c>
      <c r="AI803" s="43">
        <v>568.1927</v>
      </c>
      <c r="AJ803" s="43">
        <v>423.6251</v>
      </c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1">
        <f>1022.69107+1008.84219</f>
        <v>2031.53326</v>
      </c>
      <c r="BE803" s="43"/>
      <c r="BF803" s="41">
        <v>2711.27363</v>
      </c>
      <c r="BG803" s="22">
        <f>278.08655+1413.92836</f>
        <v>1692.01491</v>
      </c>
      <c r="BH803" s="40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20"/>
      <c r="BT803" s="20"/>
      <c r="BU803" s="7"/>
    </row>
    <row r="804" spans="1:73" ht="73.5" customHeight="1" outlineLevel="3">
      <c r="A804" s="36" t="s">
        <v>17</v>
      </c>
      <c r="B804" s="27" t="s">
        <v>174</v>
      </c>
      <c r="C804" s="39">
        <f t="shared" si="128"/>
        <v>465.59048999999993</v>
      </c>
      <c r="D804" s="1">
        <f t="shared" si="129"/>
        <v>275.84047999999996</v>
      </c>
      <c r="E804" s="1">
        <f t="shared" si="130"/>
        <v>189.75000999999997</v>
      </c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1">
        <v>45</v>
      </c>
      <c r="AA804" s="41">
        <v>23.895</v>
      </c>
      <c r="AB804" s="41">
        <v>86.67544</v>
      </c>
      <c r="AC804" s="41">
        <v>42.53917</v>
      </c>
      <c r="AD804" s="43"/>
      <c r="AE804" s="43"/>
      <c r="AF804" s="43"/>
      <c r="AG804" s="43"/>
      <c r="AH804" s="43">
        <f>10.81596+22.4848</f>
        <v>33.30076</v>
      </c>
      <c r="AI804" s="43">
        <v>22.4848</v>
      </c>
      <c r="AJ804" s="43">
        <v>10.81596</v>
      </c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1">
        <v>144.16504</v>
      </c>
      <c r="BG804" s="22">
        <v>90.01508</v>
      </c>
      <c r="BH804" s="40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20"/>
      <c r="BT804" s="20"/>
      <c r="BU804" s="7"/>
    </row>
    <row r="805" spans="1:73" ht="73.5" customHeight="1" outlineLevel="3">
      <c r="A805" s="36" t="s">
        <v>17</v>
      </c>
      <c r="B805" s="27" t="s">
        <v>175</v>
      </c>
      <c r="C805" s="39">
        <f t="shared" si="128"/>
        <v>469.00328</v>
      </c>
      <c r="D805" s="1">
        <f t="shared" si="129"/>
        <v>218.67025999999998</v>
      </c>
      <c r="E805" s="1">
        <f t="shared" si="130"/>
        <v>250.33302</v>
      </c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1"/>
      <c r="AA805" s="41">
        <v>59.697</v>
      </c>
      <c r="AB805" s="22">
        <v>79.82543</v>
      </c>
      <c r="AC805" s="41">
        <v>40.20825</v>
      </c>
      <c r="AD805" s="43"/>
      <c r="AE805" s="43"/>
      <c r="AF805" s="43"/>
      <c r="AG805" s="43"/>
      <c r="AH805" s="43">
        <f>24.33591+39.3484</f>
        <v>63.684309999999996</v>
      </c>
      <c r="AI805" s="43">
        <v>39.3484</v>
      </c>
      <c r="AJ805" s="43">
        <v>24.33591</v>
      </c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1">
        <v>138.84483</v>
      </c>
      <c r="BG805" s="22">
        <v>86.74346</v>
      </c>
      <c r="BH805" s="40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20"/>
      <c r="BT805" s="20"/>
      <c r="BU805" s="7"/>
    </row>
    <row r="806" spans="1:73" ht="73.5" customHeight="1" outlineLevel="3">
      <c r="A806" s="36" t="s">
        <v>17</v>
      </c>
      <c r="B806" s="45" t="s">
        <v>86</v>
      </c>
      <c r="C806" s="39">
        <f t="shared" si="128"/>
        <v>3184.1673899999996</v>
      </c>
      <c r="D806" s="1">
        <f t="shared" si="129"/>
        <v>1640.89332</v>
      </c>
      <c r="E806" s="1">
        <f t="shared" si="130"/>
        <v>1543.27407</v>
      </c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1"/>
      <c r="AA806" s="43"/>
      <c r="AB806" s="41">
        <v>569.85979</v>
      </c>
      <c r="AC806" s="41">
        <v>222.60221</v>
      </c>
      <c r="AD806" s="43"/>
      <c r="AE806" s="43"/>
      <c r="AF806" s="43"/>
      <c r="AG806" s="43"/>
      <c r="AH806" s="43">
        <f>158.63408+209.5125</f>
        <v>368.14658</v>
      </c>
      <c r="AI806" s="43">
        <v>209.5125</v>
      </c>
      <c r="AJ806" s="43">
        <v>158.63408</v>
      </c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>
        <v>284.4319</v>
      </c>
      <c r="BF806" s="41">
        <v>1071.03353</v>
      </c>
      <c r="BG806" s="22">
        <f>237.85452+430.23886</f>
        <v>668.09338</v>
      </c>
      <c r="BH806" s="40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20"/>
      <c r="BT806" s="20"/>
      <c r="BU806" s="7"/>
    </row>
    <row r="807" spans="1:73" ht="73.5" customHeight="1" outlineLevel="3">
      <c r="A807" s="36" t="s">
        <v>17</v>
      </c>
      <c r="B807" s="45" t="s">
        <v>85</v>
      </c>
      <c r="C807" s="39">
        <f t="shared" si="128"/>
        <v>286.93325</v>
      </c>
      <c r="D807" s="1">
        <f t="shared" si="129"/>
        <v>146.37908</v>
      </c>
      <c r="E807" s="1">
        <f t="shared" si="130"/>
        <v>140.55417</v>
      </c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1"/>
      <c r="AA807" s="41">
        <v>2.3085</v>
      </c>
      <c r="AB807" s="41">
        <v>49.5149</v>
      </c>
      <c r="AC807" s="41">
        <v>24.94077</v>
      </c>
      <c r="AD807" s="43"/>
      <c r="AE807" s="43"/>
      <c r="AF807" s="43"/>
      <c r="AG807" s="43"/>
      <c r="AH807" s="43">
        <f>17.12527+28.106</f>
        <v>45.23127</v>
      </c>
      <c r="AI807" s="43">
        <v>28.106</v>
      </c>
      <c r="AJ807" s="43">
        <v>17.12527</v>
      </c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>
        <v>7.55936</v>
      </c>
      <c r="BF807" s="41">
        <v>96.86418</v>
      </c>
      <c r="BG807" s="22">
        <v>60.51427</v>
      </c>
      <c r="BH807" s="40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20"/>
      <c r="BT807" s="20"/>
      <c r="BU807" s="7"/>
    </row>
    <row r="808" spans="1:73" ht="73.5" customHeight="1" outlineLevel="3">
      <c r="A808" s="36" t="s">
        <v>17</v>
      </c>
      <c r="B808" s="27" t="s">
        <v>87</v>
      </c>
      <c r="C808" s="39">
        <f t="shared" si="128"/>
        <v>1468.21151</v>
      </c>
      <c r="D808" s="1">
        <f t="shared" si="129"/>
        <v>792.48745</v>
      </c>
      <c r="E808" s="1">
        <f t="shared" si="130"/>
        <v>675.72406</v>
      </c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1">
        <v>17.37579</v>
      </c>
      <c r="AA808" s="41">
        <v>23.895</v>
      </c>
      <c r="AB808" s="41">
        <v>475.83993</v>
      </c>
      <c r="AC808" s="28">
        <v>113.28238</v>
      </c>
      <c r="AD808" s="43"/>
      <c r="AE808" s="43"/>
      <c r="AF808" s="43"/>
      <c r="AG808" s="43"/>
      <c r="AH808" s="43">
        <f>42.36251+73.0756</f>
        <v>115.43811</v>
      </c>
      <c r="AI808" s="43">
        <v>73.0756</v>
      </c>
      <c r="AJ808" s="43">
        <v>42.36251</v>
      </c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>
        <v>236.5</v>
      </c>
      <c r="BF808" s="41">
        <v>299.27173</v>
      </c>
      <c r="BG808" s="22">
        <v>186.60857</v>
      </c>
      <c r="BH808" s="40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20"/>
      <c r="BT808" s="20"/>
      <c r="BU808" s="7"/>
    </row>
    <row r="809" spans="1:73" ht="73.5" customHeight="1" outlineLevel="3">
      <c r="A809" s="36" t="s">
        <v>17</v>
      </c>
      <c r="B809" s="27" t="s">
        <v>342</v>
      </c>
      <c r="C809" s="39">
        <f t="shared" si="128"/>
        <v>220.87007</v>
      </c>
      <c r="D809" s="1">
        <f t="shared" si="129"/>
        <v>135.85693</v>
      </c>
      <c r="E809" s="1">
        <f t="shared" si="130"/>
        <v>85.01314</v>
      </c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1">
        <v>10.42547</v>
      </c>
      <c r="AA809" s="41">
        <v>19.2375</v>
      </c>
      <c r="AB809" s="41">
        <v>38.96894</v>
      </c>
      <c r="AC809" s="41">
        <v>9.32365</v>
      </c>
      <c r="AD809" s="43"/>
      <c r="AE809" s="43"/>
      <c r="AF809" s="43"/>
      <c r="AG809" s="43"/>
      <c r="AH809" s="43">
        <v>2.40885</v>
      </c>
      <c r="AI809" s="43"/>
      <c r="AJ809" s="43">
        <v>2.40885</v>
      </c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1">
        <v>86.46252</v>
      </c>
      <c r="BG809" s="22">
        <v>54.04314</v>
      </c>
      <c r="BH809" s="40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20"/>
      <c r="BT809" s="20"/>
      <c r="BU809" s="7"/>
    </row>
    <row r="810" spans="1:73" ht="73.5" customHeight="1" outlineLevel="3">
      <c r="A810" s="36" t="s">
        <v>17</v>
      </c>
      <c r="B810" s="45" t="s">
        <v>1026</v>
      </c>
      <c r="C810" s="39">
        <f t="shared" si="128"/>
        <v>99.91844</v>
      </c>
      <c r="D810" s="1">
        <f t="shared" si="129"/>
        <v>54.12019</v>
      </c>
      <c r="E810" s="1">
        <f t="shared" si="130"/>
        <v>45.798249999999996</v>
      </c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1"/>
      <c r="AA810" s="41">
        <v>11.9475</v>
      </c>
      <c r="AB810" s="41"/>
      <c r="AC810" s="41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1">
        <v>54.12019</v>
      </c>
      <c r="BG810" s="22">
        <v>33.85075</v>
      </c>
      <c r="BH810" s="40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20"/>
      <c r="BT810" s="20"/>
      <c r="BU810" s="7"/>
    </row>
    <row r="811" spans="1:73" ht="73.5" customHeight="1" outlineLevel="3">
      <c r="A811" s="36" t="s">
        <v>17</v>
      </c>
      <c r="B811" s="45" t="s">
        <v>1027</v>
      </c>
      <c r="C811" s="39">
        <f t="shared" si="128"/>
        <v>3028.8776700000003</v>
      </c>
      <c r="D811" s="1">
        <f t="shared" si="129"/>
        <v>19.20438</v>
      </c>
      <c r="E811" s="1">
        <f t="shared" si="130"/>
        <v>3009.67329</v>
      </c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1"/>
      <c r="AA811" s="41"/>
      <c r="AB811" s="41">
        <v>19.20438</v>
      </c>
      <c r="AC811" s="41">
        <v>9.67329</v>
      </c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1"/>
      <c r="BG811" s="22"/>
      <c r="BH811" s="40"/>
      <c r="BI811" s="43"/>
      <c r="BJ811" s="43"/>
      <c r="BK811" s="43"/>
      <c r="BL811" s="43"/>
      <c r="BM811" s="43"/>
      <c r="BN811" s="43"/>
      <c r="BO811" s="43"/>
      <c r="BP811" s="43">
        <v>3000</v>
      </c>
      <c r="BQ811" s="43"/>
      <c r="BR811" s="43"/>
      <c r="BS811" s="20"/>
      <c r="BT811" s="20"/>
      <c r="BU811" s="7"/>
    </row>
    <row r="812" spans="1:74" s="35" customFormat="1" ht="73.5" customHeight="1" outlineLevel="1" thickBot="1">
      <c r="A812" s="78" t="s">
        <v>241</v>
      </c>
      <c r="B812" s="79"/>
      <c r="C812" s="80">
        <f aca="true" t="shared" si="131" ref="C812:BN812">SUBTOTAL(9,C802:C811)</f>
        <v>31857.546490000004</v>
      </c>
      <c r="D812" s="80">
        <f t="shared" si="131"/>
        <v>14098.070810000001</v>
      </c>
      <c r="E812" s="80">
        <f t="shared" si="131"/>
        <v>17759.47568</v>
      </c>
      <c r="F812" s="80">
        <f t="shared" si="131"/>
        <v>0</v>
      </c>
      <c r="G812" s="80">
        <f t="shared" si="131"/>
        <v>0</v>
      </c>
      <c r="H812" s="80">
        <f t="shared" si="131"/>
        <v>0</v>
      </c>
      <c r="I812" s="80">
        <f t="shared" si="131"/>
        <v>0</v>
      </c>
      <c r="J812" s="80">
        <f t="shared" si="131"/>
        <v>0</v>
      </c>
      <c r="K812" s="80">
        <f t="shared" si="131"/>
        <v>0</v>
      </c>
      <c r="L812" s="80">
        <f t="shared" si="131"/>
        <v>0</v>
      </c>
      <c r="M812" s="80">
        <f t="shared" si="131"/>
        <v>0</v>
      </c>
      <c r="N812" s="80">
        <f t="shared" si="131"/>
        <v>0</v>
      </c>
      <c r="O812" s="80">
        <f t="shared" si="131"/>
        <v>0</v>
      </c>
      <c r="P812" s="80">
        <f t="shared" si="131"/>
        <v>945.97997</v>
      </c>
      <c r="Q812" s="80">
        <f t="shared" si="131"/>
        <v>0</v>
      </c>
      <c r="R812" s="80">
        <f t="shared" si="131"/>
        <v>5313.58346</v>
      </c>
      <c r="S812" s="80">
        <f t="shared" si="131"/>
        <v>4522.77378</v>
      </c>
      <c r="T812" s="80">
        <f t="shared" si="131"/>
        <v>0</v>
      </c>
      <c r="U812" s="80">
        <f t="shared" si="131"/>
        <v>0</v>
      </c>
      <c r="V812" s="80">
        <f t="shared" si="131"/>
        <v>0</v>
      </c>
      <c r="W812" s="80">
        <f t="shared" si="131"/>
        <v>0</v>
      </c>
      <c r="X812" s="80">
        <f t="shared" si="131"/>
        <v>0</v>
      </c>
      <c r="Y812" s="80">
        <f t="shared" si="131"/>
        <v>0</v>
      </c>
      <c r="Z812" s="80">
        <f t="shared" si="131"/>
        <v>387.80126</v>
      </c>
      <c r="AA812" s="80">
        <f t="shared" si="131"/>
        <v>339.228</v>
      </c>
      <c r="AB812" s="80">
        <f t="shared" si="131"/>
        <v>3355.2667400000005</v>
      </c>
      <c r="AC812" s="80">
        <f t="shared" si="131"/>
        <v>1465.79475</v>
      </c>
      <c r="AD812" s="80">
        <f t="shared" si="131"/>
        <v>0</v>
      </c>
      <c r="AE812" s="80">
        <f t="shared" si="131"/>
        <v>0</v>
      </c>
      <c r="AF812" s="80">
        <f t="shared" si="131"/>
        <v>0</v>
      </c>
      <c r="AG812" s="80">
        <f t="shared" si="131"/>
        <v>0</v>
      </c>
      <c r="AH812" s="80">
        <f t="shared" si="131"/>
        <v>1779.3908900000001</v>
      </c>
      <c r="AI812" s="80">
        <f t="shared" si="131"/>
        <v>1026.1741499999998</v>
      </c>
      <c r="AJ812" s="80">
        <f t="shared" si="131"/>
        <v>753.2167400000001</v>
      </c>
      <c r="AK812" s="80">
        <f t="shared" si="131"/>
        <v>0</v>
      </c>
      <c r="AL812" s="80">
        <f t="shared" si="131"/>
        <v>0</v>
      </c>
      <c r="AM812" s="80">
        <f t="shared" si="131"/>
        <v>0</v>
      </c>
      <c r="AN812" s="80">
        <f t="shared" si="131"/>
        <v>0</v>
      </c>
      <c r="AO812" s="80">
        <f t="shared" si="131"/>
        <v>0</v>
      </c>
      <c r="AP812" s="80">
        <f t="shared" si="131"/>
        <v>0</v>
      </c>
      <c r="AQ812" s="80">
        <f t="shared" si="131"/>
        <v>0</v>
      </c>
      <c r="AR812" s="80">
        <f t="shared" si="131"/>
        <v>0</v>
      </c>
      <c r="AS812" s="80">
        <f t="shared" si="131"/>
        <v>0</v>
      </c>
      <c r="AT812" s="80">
        <f t="shared" si="131"/>
        <v>0</v>
      </c>
      <c r="AU812" s="80">
        <f t="shared" si="131"/>
        <v>0</v>
      </c>
      <c r="AV812" s="80">
        <f t="shared" si="131"/>
        <v>0</v>
      </c>
      <c r="AW812" s="80">
        <f t="shared" si="131"/>
        <v>0</v>
      </c>
      <c r="AX812" s="80">
        <f t="shared" si="131"/>
        <v>0</v>
      </c>
      <c r="AY812" s="80">
        <f t="shared" si="131"/>
        <v>0</v>
      </c>
      <c r="AZ812" s="80">
        <f t="shared" si="131"/>
        <v>0</v>
      </c>
      <c r="BA812" s="80">
        <f t="shared" si="131"/>
        <v>0</v>
      </c>
      <c r="BB812" s="80">
        <f t="shared" si="131"/>
        <v>0</v>
      </c>
      <c r="BC812" s="80">
        <f t="shared" si="131"/>
        <v>0</v>
      </c>
      <c r="BD812" s="80">
        <f t="shared" si="131"/>
        <v>2031.53326</v>
      </c>
      <c r="BE812" s="80">
        <f t="shared" si="131"/>
        <v>528.49126</v>
      </c>
      <c r="BF812" s="80">
        <f t="shared" si="131"/>
        <v>5041.419349999999</v>
      </c>
      <c r="BG812" s="80">
        <f t="shared" si="131"/>
        <v>3146.283770000001</v>
      </c>
      <c r="BH812" s="2">
        <f t="shared" si="131"/>
        <v>0</v>
      </c>
      <c r="BI812" s="80">
        <f t="shared" si="131"/>
        <v>0</v>
      </c>
      <c r="BJ812" s="80">
        <f t="shared" si="131"/>
        <v>0</v>
      </c>
      <c r="BK812" s="80">
        <f t="shared" si="131"/>
        <v>0</v>
      </c>
      <c r="BL812" s="80">
        <f t="shared" si="131"/>
        <v>0</v>
      </c>
      <c r="BM812" s="80">
        <f t="shared" si="131"/>
        <v>0</v>
      </c>
      <c r="BN812" s="80">
        <f t="shared" si="131"/>
        <v>0</v>
      </c>
      <c r="BO812" s="80">
        <f aca="true" t="shared" si="132" ref="BO812:BT812">SUBTOTAL(9,BO802:BO811)</f>
        <v>0</v>
      </c>
      <c r="BP812" s="80">
        <f t="shared" si="132"/>
        <v>3000</v>
      </c>
      <c r="BQ812" s="80">
        <f t="shared" si="132"/>
        <v>0</v>
      </c>
      <c r="BR812" s="80">
        <f t="shared" si="132"/>
        <v>0</v>
      </c>
      <c r="BS812" s="2">
        <f t="shared" si="132"/>
        <v>0</v>
      </c>
      <c r="BT812" s="2">
        <f t="shared" si="132"/>
        <v>0</v>
      </c>
      <c r="BU812" s="50"/>
      <c r="BV812" s="34"/>
    </row>
    <row r="813" spans="1:73" ht="73.5" customHeight="1" outlineLevel="2">
      <c r="A813" s="46" t="s">
        <v>242</v>
      </c>
      <c r="B813" s="45" t="s">
        <v>243</v>
      </c>
      <c r="C813" s="39">
        <f aca="true" t="shared" si="133" ref="C813:C824">D813+E813</f>
        <v>557.86302</v>
      </c>
      <c r="D813" s="1">
        <f aca="true" t="shared" si="134" ref="D813:D824">F813+J813+N813+R813+T813+Z813+AB813+AD813+AF813+AM813+AO813+AT813+AY813+BF813+BO813+BS813+H813+V813+X813+BQ813+AR813+BH813</f>
        <v>236.01107</v>
      </c>
      <c r="E813" s="1">
        <f aca="true" t="shared" si="135" ref="E813:E824">G813+I813+K813+L813+M813+O813+P813+Q813+S813+U813+W813+Y813+AA813+AC813+AE813+AG813+AH813+AK813+AL813+AN813+AP813+AQ813+AS813+AU813+AV813+AW813+AX813+AZ813+BA813+BB813+BC813+BD813+BE813+BG813+BI813+BJ813+BK813+BL813+BM813+BN813+BU813+BP813+BR813+BT813</f>
        <v>321.85195</v>
      </c>
      <c r="F813" s="22"/>
      <c r="G813" s="22"/>
      <c r="H813" s="22"/>
      <c r="I813" s="22"/>
      <c r="J813" s="22"/>
      <c r="K813" s="22"/>
      <c r="L813" s="22"/>
      <c r="M813" s="22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22">
        <v>17.37579</v>
      </c>
      <c r="AA813" s="22">
        <v>23.895</v>
      </c>
      <c r="AB813" s="23">
        <v>85.10815</v>
      </c>
      <c r="AC813" s="4">
        <v>44.75353</v>
      </c>
      <c r="AD813" s="22"/>
      <c r="AE813" s="22"/>
      <c r="AF813" s="22"/>
      <c r="AG813" s="22"/>
      <c r="AH813" s="20"/>
      <c r="AI813" s="4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4"/>
      <c r="BA813" s="4"/>
      <c r="BB813" s="4"/>
      <c r="BC813" s="22"/>
      <c r="BD813" s="22"/>
      <c r="BE813" s="22"/>
      <c r="BF813" s="22">
        <v>133.52713</v>
      </c>
      <c r="BG813" s="22">
        <v>83.45262</v>
      </c>
      <c r="BH813" s="22"/>
      <c r="BI813" s="22"/>
      <c r="BJ813" s="22">
        <v>169.7508</v>
      </c>
      <c r="BK813" s="22"/>
      <c r="BL813" s="22"/>
      <c r="BM813" s="22"/>
      <c r="BN813" s="22"/>
      <c r="BO813" s="4"/>
      <c r="BP813" s="4"/>
      <c r="BQ813" s="4"/>
      <c r="BR813" s="4"/>
      <c r="BS813" s="4"/>
      <c r="BT813" s="22"/>
      <c r="BU813" s="24"/>
    </row>
    <row r="814" spans="1:73" ht="73.5" customHeight="1" outlineLevel="2">
      <c r="A814" s="46" t="s">
        <v>242</v>
      </c>
      <c r="B814" s="45" t="s">
        <v>101</v>
      </c>
      <c r="C814" s="39">
        <f t="shared" si="133"/>
        <v>2838.9462</v>
      </c>
      <c r="D814" s="1">
        <f t="shared" si="134"/>
        <v>1606.87657</v>
      </c>
      <c r="E814" s="1">
        <f t="shared" si="135"/>
        <v>1232.06963</v>
      </c>
      <c r="F814" s="22"/>
      <c r="G814" s="22"/>
      <c r="H814" s="22"/>
      <c r="I814" s="22"/>
      <c r="J814" s="22">
        <v>304.47939</v>
      </c>
      <c r="K814" s="22">
        <v>125.66599</v>
      </c>
      <c r="L814" s="22"/>
      <c r="M814" s="22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22">
        <v>52.12737</v>
      </c>
      <c r="AA814" s="22">
        <v>96.228</v>
      </c>
      <c r="AB814" s="23">
        <v>501.40598</v>
      </c>
      <c r="AC814" s="4">
        <v>227.96331</v>
      </c>
      <c r="AD814" s="22"/>
      <c r="AE814" s="22"/>
      <c r="AF814" s="22"/>
      <c r="AG814" s="22"/>
      <c r="AH814" s="20">
        <v>90.133</v>
      </c>
      <c r="AI814" s="4"/>
      <c r="AJ814" s="20">
        <v>90.133</v>
      </c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4"/>
      <c r="BA814" s="4"/>
      <c r="BB814" s="4"/>
      <c r="BC814" s="22"/>
      <c r="BD814" s="22"/>
      <c r="BE814" s="22">
        <v>17.34692</v>
      </c>
      <c r="BF814" s="22">
        <v>748.86383</v>
      </c>
      <c r="BG814" s="22">
        <v>468.28983</v>
      </c>
      <c r="BH814" s="22"/>
      <c r="BI814" s="22"/>
      <c r="BJ814" s="22">
        <v>206.44258</v>
      </c>
      <c r="BK814" s="22"/>
      <c r="BL814" s="22"/>
      <c r="BM814" s="22"/>
      <c r="BN814" s="22"/>
      <c r="BO814" s="4"/>
      <c r="BP814" s="4"/>
      <c r="BQ814" s="4"/>
      <c r="BR814" s="4"/>
      <c r="BS814" s="4"/>
      <c r="BT814" s="22"/>
      <c r="BU814" s="24"/>
    </row>
    <row r="815" spans="1:73" ht="73.5" customHeight="1" outlineLevel="2">
      <c r="A815" s="46" t="s">
        <v>242</v>
      </c>
      <c r="B815" s="45" t="s">
        <v>177</v>
      </c>
      <c r="C815" s="39">
        <f t="shared" si="133"/>
        <v>36.41461</v>
      </c>
      <c r="D815" s="1">
        <f t="shared" si="134"/>
        <v>22.38004</v>
      </c>
      <c r="E815" s="1">
        <f t="shared" si="135"/>
        <v>14.03457</v>
      </c>
      <c r="F815" s="22"/>
      <c r="G815" s="22"/>
      <c r="H815" s="22"/>
      <c r="I815" s="22"/>
      <c r="J815" s="22"/>
      <c r="K815" s="22"/>
      <c r="L815" s="22"/>
      <c r="M815" s="22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22"/>
      <c r="AA815" s="22"/>
      <c r="AB815" s="23"/>
      <c r="AC815" s="4"/>
      <c r="AD815" s="22"/>
      <c r="AE815" s="22"/>
      <c r="AF815" s="22"/>
      <c r="AG815" s="22"/>
      <c r="AH815" s="20"/>
      <c r="AI815" s="4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4"/>
      <c r="BA815" s="4"/>
      <c r="BB815" s="4"/>
      <c r="BC815" s="22"/>
      <c r="BD815" s="22"/>
      <c r="BE815" s="22"/>
      <c r="BF815" s="22">
        <v>22.38004</v>
      </c>
      <c r="BG815" s="22">
        <v>14.03457</v>
      </c>
      <c r="BH815" s="22"/>
      <c r="BI815" s="22"/>
      <c r="BJ815" s="22"/>
      <c r="BK815" s="22"/>
      <c r="BL815" s="22"/>
      <c r="BM815" s="22"/>
      <c r="BN815" s="22"/>
      <c r="BO815" s="4"/>
      <c r="BP815" s="4"/>
      <c r="BQ815" s="4"/>
      <c r="BR815" s="4"/>
      <c r="BS815" s="4"/>
      <c r="BT815" s="22"/>
      <c r="BU815" s="24"/>
    </row>
    <row r="816" spans="1:73" ht="73.5" customHeight="1" outlineLevel="2">
      <c r="A816" s="46" t="s">
        <v>242</v>
      </c>
      <c r="B816" s="45" t="s">
        <v>369</v>
      </c>
      <c r="C816" s="39">
        <f t="shared" si="133"/>
        <v>77.51522</v>
      </c>
      <c r="D816" s="1">
        <f t="shared" si="134"/>
        <v>47.66003</v>
      </c>
      <c r="E816" s="1">
        <f t="shared" si="135"/>
        <v>29.85519</v>
      </c>
      <c r="F816" s="22"/>
      <c r="G816" s="22"/>
      <c r="H816" s="22"/>
      <c r="I816" s="22"/>
      <c r="J816" s="22"/>
      <c r="K816" s="22"/>
      <c r="L816" s="22"/>
      <c r="M816" s="22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22"/>
      <c r="AA816" s="22"/>
      <c r="AB816" s="4"/>
      <c r="AC816" s="4"/>
      <c r="AD816" s="22"/>
      <c r="AE816" s="22"/>
      <c r="AF816" s="22"/>
      <c r="AG816" s="22"/>
      <c r="AH816" s="20"/>
      <c r="AI816" s="4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4"/>
      <c r="BA816" s="4"/>
      <c r="BB816" s="4"/>
      <c r="BC816" s="22"/>
      <c r="BD816" s="22"/>
      <c r="BE816" s="22"/>
      <c r="BF816" s="22">
        <v>47.66003</v>
      </c>
      <c r="BG816" s="22">
        <v>29.85519</v>
      </c>
      <c r="BH816" s="22"/>
      <c r="BI816" s="22"/>
      <c r="BJ816" s="22"/>
      <c r="BK816" s="22"/>
      <c r="BL816" s="22"/>
      <c r="BM816" s="22"/>
      <c r="BN816" s="22"/>
      <c r="BO816" s="4"/>
      <c r="BP816" s="4"/>
      <c r="BQ816" s="4"/>
      <c r="BR816" s="4"/>
      <c r="BS816" s="4"/>
      <c r="BT816" s="22"/>
      <c r="BU816" s="24"/>
    </row>
    <row r="817" spans="1:73" ht="73.5" customHeight="1" outlineLevel="2">
      <c r="A817" s="46" t="s">
        <v>242</v>
      </c>
      <c r="B817" s="45" t="s">
        <v>508</v>
      </c>
      <c r="C817" s="39">
        <f t="shared" si="133"/>
        <v>24.90317</v>
      </c>
      <c r="D817" s="1">
        <f t="shared" si="134"/>
        <v>5.21518</v>
      </c>
      <c r="E817" s="1">
        <f t="shared" si="135"/>
        <v>19.68799</v>
      </c>
      <c r="F817" s="22"/>
      <c r="G817" s="22"/>
      <c r="H817" s="22"/>
      <c r="I817" s="22"/>
      <c r="J817" s="22"/>
      <c r="K817" s="22"/>
      <c r="L817" s="22"/>
      <c r="M817" s="22"/>
      <c r="N817" s="4">
        <v>5.21518</v>
      </c>
      <c r="O817" s="4">
        <v>1.81039</v>
      </c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22"/>
      <c r="AA817" s="22"/>
      <c r="AB817" s="4"/>
      <c r="AC817" s="4"/>
      <c r="AD817" s="22"/>
      <c r="AE817" s="22"/>
      <c r="AF817" s="22"/>
      <c r="AG817" s="22"/>
      <c r="AH817" s="20"/>
      <c r="AI817" s="4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4">
        <v>17.8776</v>
      </c>
      <c r="BA817" s="4"/>
      <c r="BB817" s="4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4"/>
      <c r="BP817" s="4"/>
      <c r="BQ817" s="4"/>
      <c r="BR817" s="4"/>
      <c r="BS817" s="4"/>
      <c r="BT817" s="22"/>
      <c r="BU817" s="24"/>
    </row>
    <row r="818" spans="1:73" ht="73.5" customHeight="1" outlineLevel="2">
      <c r="A818" s="46" t="s">
        <v>242</v>
      </c>
      <c r="B818" s="45" t="s">
        <v>812</v>
      </c>
      <c r="C818" s="39">
        <f>D818+E818</f>
        <v>2780</v>
      </c>
      <c r="D818" s="1">
        <f t="shared" si="134"/>
        <v>1500</v>
      </c>
      <c r="E818" s="1">
        <f t="shared" si="135"/>
        <v>1280</v>
      </c>
      <c r="F818" s="22"/>
      <c r="G818" s="22"/>
      <c r="H818" s="22"/>
      <c r="I818" s="22"/>
      <c r="J818" s="22"/>
      <c r="K818" s="22"/>
      <c r="L818" s="22"/>
      <c r="M818" s="22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22"/>
      <c r="AA818" s="22"/>
      <c r="AB818" s="4"/>
      <c r="AC818" s="4"/>
      <c r="AD818" s="22"/>
      <c r="AE818" s="22"/>
      <c r="AF818" s="22"/>
      <c r="AG818" s="22"/>
      <c r="AH818" s="20"/>
      <c r="AI818" s="4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4"/>
      <c r="BA818" s="4"/>
      <c r="BB818" s="4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4">
        <v>1500</v>
      </c>
      <c r="BP818" s="4">
        <v>1280</v>
      </c>
      <c r="BQ818" s="4"/>
      <c r="BR818" s="4"/>
      <c r="BS818" s="4"/>
      <c r="BT818" s="22"/>
      <c r="BU818" s="24"/>
    </row>
    <row r="819" spans="1:73" ht="73.5" customHeight="1" outlineLevel="2">
      <c r="A819" s="46" t="s">
        <v>242</v>
      </c>
      <c r="B819" s="45" t="s">
        <v>810</v>
      </c>
      <c r="C819" s="39">
        <f>D819+E819</f>
        <v>2970</v>
      </c>
      <c r="D819" s="1">
        <f t="shared" si="134"/>
        <v>1500</v>
      </c>
      <c r="E819" s="1">
        <f t="shared" si="135"/>
        <v>1470</v>
      </c>
      <c r="F819" s="22"/>
      <c r="G819" s="22"/>
      <c r="H819" s="22"/>
      <c r="I819" s="22"/>
      <c r="J819" s="22"/>
      <c r="K819" s="22"/>
      <c r="L819" s="22"/>
      <c r="M819" s="22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22"/>
      <c r="AA819" s="22"/>
      <c r="AB819" s="4"/>
      <c r="AC819" s="4"/>
      <c r="AD819" s="22"/>
      <c r="AE819" s="22"/>
      <c r="AF819" s="22"/>
      <c r="AG819" s="22"/>
      <c r="AH819" s="20"/>
      <c r="AI819" s="4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4"/>
      <c r="BA819" s="4"/>
      <c r="BB819" s="4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4">
        <v>1500</v>
      </c>
      <c r="BP819" s="4">
        <v>1470</v>
      </c>
      <c r="BQ819" s="4"/>
      <c r="BR819" s="4"/>
      <c r="BS819" s="4"/>
      <c r="BT819" s="22"/>
      <c r="BU819" s="24"/>
    </row>
    <row r="820" spans="1:73" ht="73.5" customHeight="1" outlineLevel="2">
      <c r="A820" s="46" t="s">
        <v>242</v>
      </c>
      <c r="B820" s="45" t="s">
        <v>811</v>
      </c>
      <c r="C820" s="39">
        <f>D820+E820</f>
        <v>3000</v>
      </c>
      <c r="D820" s="1">
        <f t="shared" si="134"/>
        <v>1500</v>
      </c>
      <c r="E820" s="1">
        <f t="shared" si="135"/>
        <v>1500</v>
      </c>
      <c r="F820" s="22"/>
      <c r="G820" s="22"/>
      <c r="H820" s="22"/>
      <c r="I820" s="22"/>
      <c r="J820" s="22"/>
      <c r="K820" s="22"/>
      <c r="L820" s="22"/>
      <c r="M820" s="22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22"/>
      <c r="AA820" s="22"/>
      <c r="AB820" s="4"/>
      <c r="AC820" s="4"/>
      <c r="AD820" s="22"/>
      <c r="AE820" s="22"/>
      <c r="AF820" s="22"/>
      <c r="AG820" s="22"/>
      <c r="AH820" s="20"/>
      <c r="AI820" s="4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4"/>
      <c r="BA820" s="4"/>
      <c r="BB820" s="4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4">
        <v>1500</v>
      </c>
      <c r="BP820" s="4">
        <v>1500</v>
      </c>
      <c r="BQ820" s="4"/>
      <c r="BR820" s="4"/>
      <c r="BS820" s="4"/>
      <c r="BT820" s="22"/>
      <c r="BU820" s="24"/>
    </row>
    <row r="821" spans="1:73" ht="73.5" customHeight="1" outlineLevel="2">
      <c r="A821" s="46" t="s">
        <v>242</v>
      </c>
      <c r="B821" s="45" t="s">
        <v>100</v>
      </c>
      <c r="C821" s="39">
        <f t="shared" si="133"/>
        <v>303.34236</v>
      </c>
      <c r="D821" s="1">
        <f t="shared" si="134"/>
        <v>190.64408</v>
      </c>
      <c r="E821" s="1">
        <f t="shared" si="135"/>
        <v>112.69828000000001</v>
      </c>
      <c r="F821" s="22"/>
      <c r="G821" s="22"/>
      <c r="H821" s="22"/>
      <c r="I821" s="22"/>
      <c r="J821" s="22"/>
      <c r="K821" s="22"/>
      <c r="L821" s="22"/>
      <c r="M821" s="22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22"/>
      <c r="AA821" s="22"/>
      <c r="AB821" s="23">
        <v>76.30118</v>
      </c>
      <c r="AC821" s="4">
        <v>41.02407</v>
      </c>
      <c r="AD821" s="22"/>
      <c r="AE821" s="22"/>
      <c r="AF821" s="22"/>
      <c r="AG821" s="22"/>
      <c r="AH821" s="20"/>
      <c r="AI821" s="4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4"/>
      <c r="BA821" s="4"/>
      <c r="BB821" s="4"/>
      <c r="BC821" s="22"/>
      <c r="BD821" s="22"/>
      <c r="BE821" s="22"/>
      <c r="BF821" s="22">
        <v>114.3429</v>
      </c>
      <c r="BG821" s="22">
        <v>71.67421</v>
      </c>
      <c r="BH821" s="22"/>
      <c r="BI821" s="22"/>
      <c r="BJ821" s="22"/>
      <c r="BK821" s="22"/>
      <c r="BL821" s="22"/>
      <c r="BM821" s="22"/>
      <c r="BN821" s="22"/>
      <c r="BO821" s="4"/>
      <c r="BP821" s="4"/>
      <c r="BQ821" s="4"/>
      <c r="BR821" s="4"/>
      <c r="BS821" s="4"/>
      <c r="BT821" s="22"/>
      <c r="BU821" s="24"/>
    </row>
    <row r="822" spans="1:73" ht="73.5" customHeight="1" outlineLevel="2">
      <c r="A822" s="46" t="s">
        <v>242</v>
      </c>
      <c r="B822" s="45" t="s">
        <v>176</v>
      </c>
      <c r="C822" s="39">
        <f t="shared" si="133"/>
        <v>295.88085</v>
      </c>
      <c r="D822" s="1">
        <f t="shared" si="134"/>
        <v>96.04435</v>
      </c>
      <c r="E822" s="1">
        <f t="shared" si="135"/>
        <v>199.8365</v>
      </c>
      <c r="F822" s="22"/>
      <c r="G822" s="22"/>
      <c r="H822" s="22"/>
      <c r="I822" s="22"/>
      <c r="J822" s="22"/>
      <c r="K822" s="22"/>
      <c r="L822" s="22"/>
      <c r="M822" s="22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22"/>
      <c r="AA822" s="22"/>
      <c r="AB822" s="23"/>
      <c r="AC822" s="4"/>
      <c r="AD822" s="22"/>
      <c r="AE822" s="22"/>
      <c r="AF822" s="22"/>
      <c r="AG822" s="22"/>
      <c r="AH822" s="20"/>
      <c r="AI822" s="4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4"/>
      <c r="BA822" s="4"/>
      <c r="BB822" s="4"/>
      <c r="BC822" s="22"/>
      <c r="BD822" s="22">
        <v>180.00605</v>
      </c>
      <c r="BE822" s="22"/>
      <c r="BF822" s="22">
        <v>96.04435</v>
      </c>
      <c r="BG822" s="22">
        <v>19.83045</v>
      </c>
      <c r="BH822" s="22"/>
      <c r="BI822" s="22"/>
      <c r="BJ822" s="22"/>
      <c r="BK822" s="22"/>
      <c r="BL822" s="22"/>
      <c r="BM822" s="22"/>
      <c r="BN822" s="22"/>
      <c r="BO822" s="4"/>
      <c r="BP822" s="4"/>
      <c r="BQ822" s="4"/>
      <c r="BR822" s="4"/>
      <c r="BS822" s="4"/>
      <c r="BT822" s="22"/>
      <c r="BU822" s="24"/>
    </row>
    <row r="823" spans="1:73" ht="73.5" customHeight="1" outlineLevel="2">
      <c r="A823" s="46" t="s">
        <v>242</v>
      </c>
      <c r="B823" s="45" t="s">
        <v>179</v>
      </c>
      <c r="C823" s="39">
        <f t="shared" si="133"/>
        <v>1201.49381</v>
      </c>
      <c r="D823" s="1">
        <f t="shared" si="134"/>
        <v>621.42668</v>
      </c>
      <c r="E823" s="1">
        <f t="shared" si="135"/>
        <v>580.06713</v>
      </c>
      <c r="F823" s="22"/>
      <c r="G823" s="22"/>
      <c r="H823" s="22"/>
      <c r="I823" s="22"/>
      <c r="J823" s="22"/>
      <c r="K823" s="22"/>
      <c r="L823" s="22"/>
      <c r="M823" s="22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22">
        <v>17.37579</v>
      </c>
      <c r="AA823" s="22">
        <v>23.895</v>
      </c>
      <c r="AB823" s="23">
        <v>239.36668</v>
      </c>
      <c r="AC823" s="4">
        <v>127.26786</v>
      </c>
      <c r="AD823" s="22"/>
      <c r="AE823" s="22"/>
      <c r="AF823" s="22"/>
      <c r="AG823" s="22"/>
      <c r="AH823" s="20">
        <v>45.0665</v>
      </c>
      <c r="AI823" s="4"/>
      <c r="AJ823" s="20">
        <v>45.0665</v>
      </c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4"/>
      <c r="BA823" s="4"/>
      <c r="BB823" s="4"/>
      <c r="BC823" s="22"/>
      <c r="BD823" s="22"/>
      <c r="BE823" s="22"/>
      <c r="BF823" s="22">
        <v>364.68421</v>
      </c>
      <c r="BG823" s="22">
        <v>228.1727</v>
      </c>
      <c r="BH823" s="22"/>
      <c r="BI823" s="22"/>
      <c r="BJ823" s="22">
        <v>155.66507</v>
      </c>
      <c r="BK823" s="22"/>
      <c r="BL823" s="22"/>
      <c r="BM823" s="22"/>
      <c r="BN823" s="22"/>
      <c r="BO823" s="4"/>
      <c r="BP823" s="4"/>
      <c r="BQ823" s="4"/>
      <c r="BR823" s="4"/>
      <c r="BS823" s="4"/>
      <c r="BT823" s="22"/>
      <c r="BU823" s="24"/>
    </row>
    <row r="824" spans="1:73" ht="73.5" customHeight="1" outlineLevel="2" thickBot="1">
      <c r="A824" s="46" t="s">
        <v>242</v>
      </c>
      <c r="B824" s="45" t="s">
        <v>125</v>
      </c>
      <c r="C824" s="39">
        <f t="shared" si="133"/>
        <v>17.8879</v>
      </c>
      <c r="D824" s="1">
        <f t="shared" si="134"/>
        <v>0</v>
      </c>
      <c r="E824" s="1">
        <f t="shared" si="135"/>
        <v>17.8879</v>
      </c>
      <c r="F824" s="22"/>
      <c r="G824" s="22"/>
      <c r="H824" s="22"/>
      <c r="I824" s="22"/>
      <c r="J824" s="22"/>
      <c r="K824" s="22"/>
      <c r="L824" s="22"/>
      <c r="M824" s="22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22"/>
      <c r="AA824" s="22"/>
      <c r="AB824" s="23"/>
      <c r="AC824" s="4"/>
      <c r="AD824" s="22"/>
      <c r="AE824" s="22"/>
      <c r="AF824" s="22"/>
      <c r="AG824" s="22"/>
      <c r="AH824" s="20"/>
      <c r="AI824" s="4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4"/>
      <c r="BA824" s="4"/>
      <c r="BB824" s="4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>
        <v>17.8879</v>
      </c>
      <c r="BN824" s="22"/>
      <c r="BO824" s="4"/>
      <c r="BP824" s="4"/>
      <c r="BQ824" s="4"/>
      <c r="BR824" s="4"/>
      <c r="BS824" s="4"/>
      <c r="BT824" s="22"/>
      <c r="BU824" s="24"/>
    </row>
    <row r="825" spans="1:74" s="84" customFormat="1" ht="73.5" customHeight="1" outlineLevel="1" thickBot="1">
      <c r="A825" s="81" t="s">
        <v>480</v>
      </c>
      <c r="B825" s="82"/>
      <c r="C825" s="49">
        <f aca="true" t="shared" si="136" ref="C825:BN825">SUBTOTAL(9,C813:C824)</f>
        <v>14104.24714</v>
      </c>
      <c r="D825" s="49">
        <f t="shared" si="136"/>
        <v>7326.258</v>
      </c>
      <c r="E825" s="49">
        <f t="shared" si="136"/>
        <v>6777.98914</v>
      </c>
      <c r="F825" s="49">
        <f t="shared" si="136"/>
        <v>0</v>
      </c>
      <c r="G825" s="49">
        <f t="shared" si="136"/>
        <v>0</v>
      </c>
      <c r="H825" s="49">
        <f t="shared" si="136"/>
        <v>0</v>
      </c>
      <c r="I825" s="49">
        <f t="shared" si="136"/>
        <v>0</v>
      </c>
      <c r="J825" s="49">
        <f t="shared" si="136"/>
        <v>304.47939</v>
      </c>
      <c r="K825" s="49">
        <f t="shared" si="136"/>
        <v>125.66599</v>
      </c>
      <c r="L825" s="49">
        <f t="shared" si="136"/>
        <v>0</v>
      </c>
      <c r="M825" s="49">
        <f t="shared" si="136"/>
        <v>0</v>
      </c>
      <c r="N825" s="49">
        <f t="shared" si="136"/>
        <v>5.21518</v>
      </c>
      <c r="O825" s="49">
        <f t="shared" si="136"/>
        <v>1.81039</v>
      </c>
      <c r="P825" s="49">
        <f t="shared" si="136"/>
        <v>0</v>
      </c>
      <c r="Q825" s="49">
        <f t="shared" si="136"/>
        <v>0</v>
      </c>
      <c r="R825" s="49">
        <f t="shared" si="136"/>
        <v>0</v>
      </c>
      <c r="S825" s="49">
        <f t="shared" si="136"/>
        <v>0</v>
      </c>
      <c r="T825" s="49">
        <f t="shared" si="136"/>
        <v>0</v>
      </c>
      <c r="U825" s="49">
        <f t="shared" si="136"/>
        <v>0</v>
      </c>
      <c r="V825" s="49">
        <f t="shared" si="136"/>
        <v>0</v>
      </c>
      <c r="W825" s="49">
        <f t="shared" si="136"/>
        <v>0</v>
      </c>
      <c r="X825" s="49">
        <f t="shared" si="136"/>
        <v>0</v>
      </c>
      <c r="Y825" s="49">
        <f t="shared" si="136"/>
        <v>0</v>
      </c>
      <c r="Z825" s="49">
        <f t="shared" si="136"/>
        <v>86.87894999999999</v>
      </c>
      <c r="AA825" s="49">
        <f t="shared" si="136"/>
        <v>144.018</v>
      </c>
      <c r="AB825" s="49">
        <f t="shared" si="136"/>
        <v>902.18199</v>
      </c>
      <c r="AC825" s="49">
        <f t="shared" si="136"/>
        <v>441.00876999999997</v>
      </c>
      <c r="AD825" s="49">
        <f t="shared" si="136"/>
        <v>0</v>
      </c>
      <c r="AE825" s="49">
        <f t="shared" si="136"/>
        <v>0</v>
      </c>
      <c r="AF825" s="49">
        <f t="shared" si="136"/>
        <v>0</v>
      </c>
      <c r="AG825" s="49">
        <f t="shared" si="136"/>
        <v>0</v>
      </c>
      <c r="AH825" s="49">
        <f t="shared" si="136"/>
        <v>135.1995</v>
      </c>
      <c r="AI825" s="49">
        <f t="shared" si="136"/>
        <v>0</v>
      </c>
      <c r="AJ825" s="49">
        <f t="shared" si="136"/>
        <v>135.1995</v>
      </c>
      <c r="AK825" s="49">
        <f t="shared" si="136"/>
        <v>0</v>
      </c>
      <c r="AL825" s="49">
        <f t="shared" si="136"/>
        <v>0</v>
      </c>
      <c r="AM825" s="49">
        <f t="shared" si="136"/>
        <v>0</v>
      </c>
      <c r="AN825" s="49">
        <f t="shared" si="136"/>
        <v>0</v>
      </c>
      <c r="AO825" s="49">
        <f t="shared" si="136"/>
        <v>0</v>
      </c>
      <c r="AP825" s="49">
        <f t="shared" si="136"/>
        <v>0</v>
      </c>
      <c r="AQ825" s="49">
        <f t="shared" si="136"/>
        <v>0</v>
      </c>
      <c r="AR825" s="49">
        <f t="shared" si="136"/>
        <v>0</v>
      </c>
      <c r="AS825" s="49">
        <f t="shared" si="136"/>
        <v>0</v>
      </c>
      <c r="AT825" s="49">
        <f t="shared" si="136"/>
        <v>0</v>
      </c>
      <c r="AU825" s="49">
        <f t="shared" si="136"/>
        <v>0</v>
      </c>
      <c r="AV825" s="49">
        <f t="shared" si="136"/>
        <v>0</v>
      </c>
      <c r="AW825" s="49">
        <f t="shared" si="136"/>
        <v>0</v>
      </c>
      <c r="AX825" s="49">
        <f t="shared" si="136"/>
        <v>0</v>
      </c>
      <c r="AY825" s="49">
        <f t="shared" si="136"/>
        <v>0</v>
      </c>
      <c r="AZ825" s="49">
        <f t="shared" si="136"/>
        <v>17.8776</v>
      </c>
      <c r="BA825" s="49">
        <f t="shared" si="136"/>
        <v>0</v>
      </c>
      <c r="BB825" s="49">
        <f t="shared" si="136"/>
        <v>0</v>
      </c>
      <c r="BC825" s="49">
        <f t="shared" si="136"/>
        <v>0</v>
      </c>
      <c r="BD825" s="49">
        <f t="shared" si="136"/>
        <v>180.00605</v>
      </c>
      <c r="BE825" s="49">
        <f t="shared" si="136"/>
        <v>17.34692</v>
      </c>
      <c r="BF825" s="49">
        <f t="shared" si="136"/>
        <v>1527.5024899999999</v>
      </c>
      <c r="BG825" s="49">
        <f t="shared" si="136"/>
        <v>915.30957</v>
      </c>
      <c r="BH825" s="49">
        <f t="shared" si="136"/>
        <v>0</v>
      </c>
      <c r="BI825" s="49">
        <f t="shared" si="136"/>
        <v>0</v>
      </c>
      <c r="BJ825" s="49">
        <f t="shared" si="136"/>
        <v>531.85845</v>
      </c>
      <c r="BK825" s="49">
        <f t="shared" si="136"/>
        <v>0</v>
      </c>
      <c r="BL825" s="49">
        <f t="shared" si="136"/>
        <v>0</v>
      </c>
      <c r="BM825" s="49">
        <f t="shared" si="136"/>
        <v>17.8879</v>
      </c>
      <c r="BN825" s="49">
        <f t="shared" si="136"/>
        <v>0</v>
      </c>
      <c r="BO825" s="49">
        <f aca="true" t="shared" si="137" ref="BO825:BT825">SUBTOTAL(9,BO813:BO824)</f>
        <v>4500</v>
      </c>
      <c r="BP825" s="49">
        <f t="shared" si="137"/>
        <v>4250</v>
      </c>
      <c r="BQ825" s="49">
        <f t="shared" si="137"/>
        <v>0</v>
      </c>
      <c r="BR825" s="49">
        <f t="shared" si="137"/>
        <v>0</v>
      </c>
      <c r="BS825" s="2">
        <f t="shared" si="137"/>
        <v>0</v>
      </c>
      <c r="BT825" s="2">
        <f t="shared" si="137"/>
        <v>0</v>
      </c>
      <c r="BU825" s="50"/>
      <c r="BV825" s="83"/>
    </row>
    <row r="826" spans="1:73" ht="73.5" customHeight="1" outlineLevel="2">
      <c r="A826" s="46" t="s">
        <v>481</v>
      </c>
      <c r="B826" s="45" t="s">
        <v>97</v>
      </c>
      <c r="C826" s="39">
        <f aca="true" t="shared" si="138" ref="C826:C855">D826+E826</f>
        <v>559.58049</v>
      </c>
      <c r="D826" s="1">
        <f aca="true" t="shared" si="139" ref="D826:D855">F826+J826+N826+R826+T826+Z826+AB826+AD826+AF826+AM826+AO826+AT826+AY826+BF826+BO826+BS826+H826+V826+X826+BQ826+AR826+BH826</f>
        <v>305.53318</v>
      </c>
      <c r="E826" s="1">
        <f aca="true" t="shared" si="140" ref="E826:E855">G826+I826+K826+L826+M826+O826+P826+Q826+S826+U826+W826+Y826+AA826+AC826+AE826+AG826+AH826+AK826+AL826+AN826+AP826+AQ826+AS826+AU826+AV826+AW826+AX826+AZ826+BA826+BB826+BC826+BD826+BE826+BG826+BI826+BJ826+BK826+BL826+BM826+BN826+BU826+BP826+BR826+BT826</f>
        <v>254.04730999999998</v>
      </c>
      <c r="F826" s="22"/>
      <c r="G826" s="22"/>
      <c r="H826" s="22"/>
      <c r="I826" s="22"/>
      <c r="J826" s="22"/>
      <c r="K826" s="22"/>
      <c r="L826" s="22"/>
      <c r="M826" s="22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22"/>
      <c r="AA826" s="22"/>
      <c r="AB826" s="23">
        <v>123.30015</v>
      </c>
      <c r="AC826" s="4">
        <v>52.44555</v>
      </c>
      <c r="AD826" s="22"/>
      <c r="AE826" s="22"/>
      <c r="AF826" s="22"/>
      <c r="AG826" s="22"/>
      <c r="AH826" s="20">
        <f>31.54655+56.212</f>
        <v>87.75855</v>
      </c>
      <c r="AI826" s="4">
        <v>56.212</v>
      </c>
      <c r="AJ826" s="22">
        <v>31.54655</v>
      </c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4"/>
      <c r="BA826" s="4"/>
      <c r="BB826" s="4"/>
      <c r="BC826" s="22"/>
      <c r="BD826" s="22"/>
      <c r="BE826" s="22"/>
      <c r="BF826" s="22">
        <v>182.23303</v>
      </c>
      <c r="BG826" s="22">
        <v>113.84321</v>
      </c>
      <c r="BH826" s="22"/>
      <c r="BI826" s="22"/>
      <c r="BJ826" s="22"/>
      <c r="BK826" s="22"/>
      <c r="BL826" s="22"/>
      <c r="BM826" s="22"/>
      <c r="BN826" s="22"/>
      <c r="BO826" s="4"/>
      <c r="BP826" s="4"/>
      <c r="BQ826" s="4"/>
      <c r="BR826" s="4"/>
      <c r="BS826" s="4"/>
      <c r="BT826" s="22"/>
      <c r="BU826" s="24"/>
    </row>
    <row r="827" spans="1:73" ht="73.5" customHeight="1" outlineLevel="2">
      <c r="A827" s="44" t="s">
        <v>481</v>
      </c>
      <c r="B827" s="26" t="s">
        <v>429</v>
      </c>
      <c r="C827" s="39">
        <f t="shared" si="138"/>
        <v>8414.947339999999</v>
      </c>
      <c r="D827" s="1">
        <f t="shared" si="139"/>
        <v>3156.01346</v>
      </c>
      <c r="E827" s="1">
        <f t="shared" si="140"/>
        <v>5258.93388</v>
      </c>
      <c r="F827" s="22"/>
      <c r="G827" s="22"/>
      <c r="H827" s="22"/>
      <c r="I827" s="22"/>
      <c r="J827" s="22"/>
      <c r="K827" s="22"/>
      <c r="L827" s="22"/>
      <c r="M827" s="22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22">
        <v>43.43947</v>
      </c>
      <c r="AA827" s="22"/>
      <c r="AB827" s="23">
        <v>1229.48337</v>
      </c>
      <c r="AC827" s="4">
        <v>509.77071</v>
      </c>
      <c r="AD827" s="22"/>
      <c r="AE827" s="22"/>
      <c r="AF827" s="22"/>
      <c r="AG827" s="22"/>
      <c r="AH827" s="20">
        <f>304.64954+361.30475</f>
        <v>665.95429</v>
      </c>
      <c r="AI827" s="4">
        <v>361.30475</v>
      </c>
      <c r="AJ827" s="22">
        <v>304.64954</v>
      </c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4"/>
      <c r="BA827" s="4"/>
      <c r="BB827" s="4"/>
      <c r="BC827" s="22"/>
      <c r="BD827" s="22">
        <f>2089.7688+698.1</f>
        <v>2787.8687999999997</v>
      </c>
      <c r="BE827" s="22">
        <v>118.75019</v>
      </c>
      <c r="BF827" s="22">
        <v>1883.09062</v>
      </c>
      <c r="BG827" s="22">
        <f>461.03933+715.55056</f>
        <v>1176.58989</v>
      </c>
      <c r="BH827" s="22"/>
      <c r="BI827" s="22"/>
      <c r="BJ827" s="22"/>
      <c r="BK827" s="22"/>
      <c r="BL827" s="22"/>
      <c r="BM827" s="22"/>
      <c r="BN827" s="22"/>
      <c r="BO827" s="4"/>
      <c r="BP827" s="4"/>
      <c r="BQ827" s="4"/>
      <c r="BR827" s="4"/>
      <c r="BS827" s="4"/>
      <c r="BT827" s="22"/>
      <c r="BU827" s="24"/>
    </row>
    <row r="828" spans="1:73" ht="73.5" customHeight="1" outlineLevel="2">
      <c r="A828" s="46" t="s">
        <v>481</v>
      </c>
      <c r="B828" s="45" t="s">
        <v>31</v>
      </c>
      <c r="C828" s="39">
        <f t="shared" si="138"/>
        <v>38564.621100000004</v>
      </c>
      <c r="D828" s="1">
        <f t="shared" si="139"/>
        <v>19254.26649</v>
      </c>
      <c r="E828" s="1">
        <f t="shared" si="140"/>
        <v>19310.354610000002</v>
      </c>
      <c r="F828" s="22"/>
      <c r="G828" s="22"/>
      <c r="H828" s="22"/>
      <c r="I828" s="22"/>
      <c r="J828" s="22"/>
      <c r="K828" s="22"/>
      <c r="L828" s="22"/>
      <c r="M828" s="22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22">
        <v>157.15436</v>
      </c>
      <c r="AA828" s="22">
        <v>332.74236</v>
      </c>
      <c r="AB828" s="23">
        <v>4395.30784</v>
      </c>
      <c r="AC828" s="4">
        <v>1444.69999</v>
      </c>
      <c r="AD828" s="22"/>
      <c r="AE828" s="22"/>
      <c r="AF828" s="22"/>
      <c r="AG828" s="22"/>
      <c r="AH828" s="20">
        <f>635.9364+65.03895+79.8114+645.4011</f>
        <v>1426.1878500000003</v>
      </c>
      <c r="AI828" s="4">
        <f>79.8114+645.4011</f>
        <v>725.2125000000001</v>
      </c>
      <c r="AJ828" s="22">
        <v>700.97535</v>
      </c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>
        <v>8317.2925</v>
      </c>
      <c r="AZ828" s="4">
        <v>7218.50154</v>
      </c>
      <c r="BA828" s="4"/>
      <c r="BB828" s="4"/>
      <c r="BC828" s="22"/>
      <c r="BD828" s="22">
        <f>2637.40916+244.1</f>
        <v>2881.50916</v>
      </c>
      <c r="BE828" s="22">
        <v>259.35</v>
      </c>
      <c r="BF828" s="22">
        <v>6163.11179</v>
      </c>
      <c r="BG828" s="22">
        <f>3612.83195</f>
        <v>3612.83195</v>
      </c>
      <c r="BH828" s="22">
        <v>221.4</v>
      </c>
      <c r="BI828" s="22">
        <v>1150.54261</v>
      </c>
      <c r="BJ828" s="22">
        <v>983.98915</v>
      </c>
      <c r="BK828" s="22"/>
      <c r="BL828" s="22"/>
      <c r="BM828" s="22"/>
      <c r="BN828" s="22"/>
      <c r="BO828" s="4"/>
      <c r="BP828" s="4"/>
      <c r="BQ828" s="4"/>
      <c r="BR828" s="4"/>
      <c r="BS828" s="4"/>
      <c r="BT828" s="22"/>
      <c r="BU828" s="24"/>
    </row>
    <row r="829" spans="1:73" ht="73.5" customHeight="1" outlineLevel="2">
      <c r="A829" s="46" t="s">
        <v>481</v>
      </c>
      <c r="B829" s="45" t="s">
        <v>99</v>
      </c>
      <c r="C829" s="39">
        <f t="shared" si="138"/>
        <v>1185.00328</v>
      </c>
      <c r="D829" s="1">
        <f t="shared" si="139"/>
        <v>655.03863</v>
      </c>
      <c r="E829" s="1">
        <f t="shared" si="140"/>
        <v>529.96465</v>
      </c>
      <c r="F829" s="22"/>
      <c r="G829" s="22"/>
      <c r="H829" s="22"/>
      <c r="I829" s="22"/>
      <c r="J829" s="22"/>
      <c r="K829" s="22"/>
      <c r="L829" s="22"/>
      <c r="M829" s="22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22">
        <v>104.25474</v>
      </c>
      <c r="AA829" s="22">
        <v>243</v>
      </c>
      <c r="AB829" s="23">
        <v>226.50694</v>
      </c>
      <c r="AC829" s="4">
        <v>69.9274</v>
      </c>
      <c r="AD829" s="22"/>
      <c r="AE829" s="22"/>
      <c r="AF829" s="22"/>
      <c r="AG829" s="22"/>
      <c r="AH829" s="20">
        <v>14.4531</v>
      </c>
      <c r="AI829" s="4"/>
      <c r="AJ829" s="20">
        <v>14.4531</v>
      </c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4"/>
      <c r="BA829" s="4"/>
      <c r="BB829" s="4"/>
      <c r="BC829" s="22"/>
      <c r="BD829" s="22"/>
      <c r="BE829" s="22"/>
      <c r="BF829" s="22">
        <v>324.27695</v>
      </c>
      <c r="BG829" s="22">
        <v>202.58415</v>
      </c>
      <c r="BH829" s="22"/>
      <c r="BI829" s="22"/>
      <c r="BJ829" s="22"/>
      <c r="BK829" s="22"/>
      <c r="BL829" s="22"/>
      <c r="BM829" s="22"/>
      <c r="BN829" s="22"/>
      <c r="BO829" s="4"/>
      <c r="BP829" s="4"/>
      <c r="BQ829" s="4"/>
      <c r="BR829" s="4"/>
      <c r="BS829" s="4"/>
      <c r="BT829" s="22"/>
      <c r="BU829" s="24"/>
    </row>
    <row r="830" spans="1:73" ht="73.5" customHeight="1" outlineLevel="2">
      <c r="A830" s="44" t="s">
        <v>481</v>
      </c>
      <c r="B830" s="26" t="s">
        <v>430</v>
      </c>
      <c r="C830" s="39">
        <f t="shared" si="138"/>
        <v>30866.83451</v>
      </c>
      <c r="D830" s="1">
        <f t="shared" si="139"/>
        <v>11128.646400000001</v>
      </c>
      <c r="E830" s="1">
        <f t="shared" si="140"/>
        <v>19738.18811</v>
      </c>
      <c r="F830" s="22"/>
      <c r="G830" s="22"/>
      <c r="H830" s="22"/>
      <c r="I830" s="22"/>
      <c r="J830" s="22"/>
      <c r="K830" s="22"/>
      <c r="L830" s="22"/>
      <c r="M830" s="22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22">
        <v>2258.85253</v>
      </c>
      <c r="AA830" s="22">
        <v>2388.285</v>
      </c>
      <c r="AB830" s="23">
        <v>3240.05436</v>
      </c>
      <c r="AC830" s="4">
        <v>1291.09281</v>
      </c>
      <c r="AD830" s="22"/>
      <c r="AE830" s="22"/>
      <c r="AF830" s="22"/>
      <c r="AG830" s="22"/>
      <c r="AH830" s="20">
        <f>876.8214+1130.7642</f>
        <v>2007.5856</v>
      </c>
      <c r="AI830" s="4">
        <v>1130.7642</v>
      </c>
      <c r="AJ830" s="22">
        <v>876.8214</v>
      </c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4"/>
      <c r="BA830" s="4"/>
      <c r="BB830" s="4"/>
      <c r="BC830" s="22"/>
      <c r="BD830" s="22">
        <v>10539.04806</v>
      </c>
      <c r="BE830" s="22"/>
      <c r="BF830" s="22">
        <v>5629.73951</v>
      </c>
      <c r="BG830" s="22">
        <f>3102.51221+294.23002+115.43441</f>
        <v>3512.1766399999997</v>
      </c>
      <c r="BH830" s="22"/>
      <c r="BI830" s="22"/>
      <c r="BJ830" s="22"/>
      <c r="BK830" s="22"/>
      <c r="BL830" s="22"/>
      <c r="BM830" s="22"/>
      <c r="BN830" s="22"/>
      <c r="BO830" s="4"/>
      <c r="BP830" s="4"/>
      <c r="BQ830" s="4"/>
      <c r="BR830" s="4"/>
      <c r="BS830" s="4"/>
      <c r="BT830" s="22"/>
      <c r="BU830" s="24"/>
    </row>
    <row r="831" spans="1:73" ht="73.5" customHeight="1" outlineLevel="2">
      <c r="A831" s="44" t="s">
        <v>481</v>
      </c>
      <c r="B831" s="26" t="s">
        <v>792</v>
      </c>
      <c r="C831" s="39">
        <f t="shared" si="138"/>
        <v>228.97474</v>
      </c>
      <c r="D831" s="1">
        <f t="shared" si="139"/>
        <v>0</v>
      </c>
      <c r="E831" s="1">
        <f t="shared" si="140"/>
        <v>228.97474</v>
      </c>
      <c r="F831" s="22"/>
      <c r="G831" s="22"/>
      <c r="H831" s="22"/>
      <c r="I831" s="22"/>
      <c r="J831" s="22"/>
      <c r="K831" s="22"/>
      <c r="L831" s="22"/>
      <c r="M831" s="22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22"/>
      <c r="AA831" s="22"/>
      <c r="AB831" s="23"/>
      <c r="AC831" s="4"/>
      <c r="AD831" s="22"/>
      <c r="AE831" s="22"/>
      <c r="AF831" s="22"/>
      <c r="AG831" s="22"/>
      <c r="AH831" s="20"/>
      <c r="AI831" s="4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4"/>
      <c r="BA831" s="4"/>
      <c r="BB831" s="4"/>
      <c r="BC831" s="22"/>
      <c r="BD831" s="22"/>
      <c r="BE831" s="22"/>
      <c r="BF831" s="22"/>
      <c r="BG831" s="22"/>
      <c r="BH831" s="22"/>
      <c r="BI831" s="22"/>
      <c r="BJ831" s="22">
        <v>228.97474</v>
      </c>
      <c r="BK831" s="22"/>
      <c r="BL831" s="22"/>
      <c r="BM831" s="22"/>
      <c r="BN831" s="22"/>
      <c r="BO831" s="4"/>
      <c r="BP831" s="4"/>
      <c r="BQ831" s="4"/>
      <c r="BR831" s="4"/>
      <c r="BS831" s="4"/>
      <c r="BT831" s="22"/>
      <c r="BU831" s="24"/>
    </row>
    <row r="832" spans="1:73" ht="73.5" customHeight="1" outlineLevel="2">
      <c r="A832" s="46" t="s">
        <v>481</v>
      </c>
      <c r="B832" s="45" t="s">
        <v>211</v>
      </c>
      <c r="C832" s="39">
        <f t="shared" si="138"/>
        <v>3409.7361899999996</v>
      </c>
      <c r="D832" s="1">
        <f t="shared" si="139"/>
        <v>1714.3239199999998</v>
      </c>
      <c r="E832" s="1">
        <f t="shared" si="140"/>
        <v>1695.4122699999998</v>
      </c>
      <c r="F832" s="22"/>
      <c r="G832" s="22"/>
      <c r="H832" s="22"/>
      <c r="I832" s="22"/>
      <c r="J832" s="22"/>
      <c r="K832" s="22"/>
      <c r="L832" s="22"/>
      <c r="M832" s="22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22">
        <v>52.12737</v>
      </c>
      <c r="AA832" s="22">
        <v>71.6445</v>
      </c>
      <c r="AB832" s="4"/>
      <c r="AC832" s="4"/>
      <c r="AD832" s="22"/>
      <c r="AE832" s="22"/>
      <c r="AF832" s="22"/>
      <c r="AG832" s="22"/>
      <c r="AH832" s="20"/>
      <c r="AI832" s="4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>
        <v>1189.29876</v>
      </c>
      <c r="AZ832" s="4">
        <v>1327.92148</v>
      </c>
      <c r="BA832" s="4"/>
      <c r="BB832" s="4"/>
      <c r="BC832" s="22"/>
      <c r="BD832" s="22"/>
      <c r="BE832" s="22"/>
      <c r="BF832" s="22">
        <v>472.89779</v>
      </c>
      <c r="BG832" s="22">
        <v>295.84629</v>
      </c>
      <c r="BH832" s="22"/>
      <c r="BI832" s="22"/>
      <c r="BJ832" s="22"/>
      <c r="BK832" s="22"/>
      <c r="BL832" s="22"/>
      <c r="BM832" s="22"/>
      <c r="BN832" s="22"/>
      <c r="BO832" s="4"/>
      <c r="BP832" s="4"/>
      <c r="BQ832" s="4"/>
      <c r="BR832" s="4"/>
      <c r="BS832" s="4"/>
      <c r="BT832" s="22"/>
      <c r="BU832" s="24"/>
    </row>
    <row r="833" spans="1:73" ht="73.5" customHeight="1" outlineLevel="2">
      <c r="A833" s="46" t="s">
        <v>481</v>
      </c>
      <c r="B833" s="45" t="s">
        <v>98</v>
      </c>
      <c r="C833" s="39">
        <f t="shared" si="138"/>
        <v>33679.45082</v>
      </c>
      <c r="D833" s="1">
        <f t="shared" si="139"/>
        <v>11960.10669</v>
      </c>
      <c r="E833" s="1">
        <f t="shared" si="140"/>
        <v>21719.34413</v>
      </c>
      <c r="F833" s="22"/>
      <c r="G833" s="22"/>
      <c r="H833" s="22"/>
      <c r="I833" s="22"/>
      <c r="J833" s="22">
        <v>774.56053</v>
      </c>
      <c r="K833" s="22">
        <v>381.21672</v>
      </c>
      <c r="L833" s="22">
        <f>1087.30807+438.40875</f>
        <v>1525.71682</v>
      </c>
      <c r="M833" s="22"/>
      <c r="N833" s="4"/>
      <c r="O833" s="4"/>
      <c r="P833" s="4">
        <v>0.79754</v>
      </c>
      <c r="Q833" s="4"/>
      <c r="R833" s="4"/>
      <c r="S833" s="4"/>
      <c r="T833" s="4"/>
      <c r="U833" s="4"/>
      <c r="V833" s="4"/>
      <c r="W833" s="4"/>
      <c r="X833" s="4"/>
      <c r="Y833" s="4"/>
      <c r="Z833" s="22"/>
      <c r="AA833" s="22"/>
      <c r="AB833" s="23">
        <v>2352.52777</v>
      </c>
      <c r="AC833" s="4">
        <v>961.73478</v>
      </c>
      <c r="AD833" s="22"/>
      <c r="AE833" s="22"/>
      <c r="AF833" s="22"/>
      <c r="AG833" s="22"/>
      <c r="AH833" s="20">
        <f>5585.7068+821.41785+106.4152+882.5284</f>
        <v>7396.06825</v>
      </c>
      <c r="AI833" s="4">
        <f>106.4152+882.5284</f>
        <v>988.9436000000001</v>
      </c>
      <c r="AJ833" s="22">
        <v>6407.12465</v>
      </c>
      <c r="AK833" s="22"/>
      <c r="AL833" s="22"/>
      <c r="AM833" s="22"/>
      <c r="AN833" s="22"/>
      <c r="AO833" s="22"/>
      <c r="AP833" s="22"/>
      <c r="AQ833" s="22">
        <v>10.375</v>
      </c>
      <c r="AR833" s="22"/>
      <c r="AS833" s="22"/>
      <c r="AT833" s="22"/>
      <c r="AU833" s="22"/>
      <c r="AV833" s="22"/>
      <c r="AW833" s="22"/>
      <c r="AX833" s="22"/>
      <c r="AY833" s="22">
        <v>3857.92585</v>
      </c>
      <c r="AZ833" s="4">
        <v>4440.59018</v>
      </c>
      <c r="BA833" s="4"/>
      <c r="BB833" s="4"/>
      <c r="BC833" s="22"/>
      <c r="BD833" s="22">
        <v>2684.574</v>
      </c>
      <c r="BE833" s="22"/>
      <c r="BF833" s="22">
        <v>4975.09254</v>
      </c>
      <c r="BG833" s="22">
        <v>3106.54574</v>
      </c>
      <c r="BH833" s="22"/>
      <c r="BI833" s="22"/>
      <c r="BJ833" s="22">
        <v>1211.7251</v>
      </c>
      <c r="BK833" s="22"/>
      <c r="BL833" s="22"/>
      <c r="BM833" s="22"/>
      <c r="BN833" s="22"/>
      <c r="BO833" s="4"/>
      <c r="BP833" s="4"/>
      <c r="BQ833" s="4"/>
      <c r="BR833" s="4"/>
      <c r="BS833" s="4"/>
      <c r="BT833" s="22"/>
      <c r="BU833" s="24"/>
    </row>
    <row r="834" spans="1:73" ht="73.5" customHeight="1" outlineLevel="2">
      <c r="A834" s="44" t="s">
        <v>481</v>
      </c>
      <c r="B834" s="26" t="s">
        <v>1028</v>
      </c>
      <c r="C834" s="39">
        <f t="shared" si="138"/>
        <v>76.70751</v>
      </c>
      <c r="D834" s="1">
        <f t="shared" si="139"/>
        <v>47.16098</v>
      </c>
      <c r="E834" s="1">
        <f t="shared" si="140"/>
        <v>29.54653</v>
      </c>
      <c r="F834" s="22"/>
      <c r="G834" s="22"/>
      <c r="H834" s="22"/>
      <c r="I834" s="22"/>
      <c r="J834" s="22"/>
      <c r="K834" s="22"/>
      <c r="L834" s="22"/>
      <c r="M834" s="22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22"/>
      <c r="AA834" s="22"/>
      <c r="AB834" s="4"/>
      <c r="AC834" s="4"/>
      <c r="AD834" s="22"/>
      <c r="AE834" s="22"/>
      <c r="AF834" s="22"/>
      <c r="AG834" s="22"/>
      <c r="AH834" s="20"/>
      <c r="AI834" s="4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4"/>
      <c r="BA834" s="4"/>
      <c r="BB834" s="4"/>
      <c r="BC834" s="22"/>
      <c r="BD834" s="22"/>
      <c r="BE834" s="22"/>
      <c r="BF834" s="22">
        <v>47.16098</v>
      </c>
      <c r="BG834" s="22">
        <v>29.54653</v>
      </c>
      <c r="BH834" s="22"/>
      <c r="BI834" s="22"/>
      <c r="BJ834" s="22"/>
      <c r="BK834" s="22"/>
      <c r="BL834" s="22"/>
      <c r="BM834" s="22"/>
      <c r="BN834" s="22"/>
      <c r="BO834" s="4"/>
      <c r="BP834" s="4"/>
      <c r="BQ834" s="4"/>
      <c r="BR834" s="4"/>
      <c r="BS834" s="4"/>
      <c r="BT834" s="22"/>
      <c r="BU834" s="24"/>
    </row>
    <row r="835" spans="1:73" ht="73.5" customHeight="1" outlineLevel="2">
      <c r="A835" s="44" t="s">
        <v>481</v>
      </c>
      <c r="B835" s="26" t="s">
        <v>1029</v>
      </c>
      <c r="C835" s="39">
        <f t="shared" si="138"/>
        <v>536.00346</v>
      </c>
      <c r="D835" s="1">
        <f t="shared" si="139"/>
        <v>301.77942</v>
      </c>
      <c r="E835" s="1">
        <f t="shared" si="140"/>
        <v>234.22404</v>
      </c>
      <c r="F835" s="22"/>
      <c r="G835" s="22"/>
      <c r="H835" s="22"/>
      <c r="I835" s="22"/>
      <c r="J835" s="22"/>
      <c r="K835" s="22"/>
      <c r="L835" s="22"/>
      <c r="M835" s="22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22"/>
      <c r="AA835" s="22"/>
      <c r="AB835" s="23">
        <v>140.6535</v>
      </c>
      <c r="AC835" s="4">
        <v>58.27283</v>
      </c>
      <c r="AD835" s="22"/>
      <c r="AE835" s="22"/>
      <c r="AF835" s="22"/>
      <c r="AG835" s="22"/>
      <c r="AH835" s="20">
        <f>13.51995+16.86195+44.9696</f>
        <v>75.3515</v>
      </c>
      <c r="AI835" s="4">
        <v>44.9696</v>
      </c>
      <c r="AJ835" s="22">
        <v>30.3819</v>
      </c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4"/>
      <c r="BA835" s="4"/>
      <c r="BB835" s="4"/>
      <c r="BC835" s="22"/>
      <c r="BD835" s="22"/>
      <c r="BE835" s="22"/>
      <c r="BF835" s="22">
        <v>161.12592</v>
      </c>
      <c r="BG835" s="22">
        <v>100.59971</v>
      </c>
      <c r="BH835" s="22"/>
      <c r="BI835" s="22"/>
      <c r="BJ835" s="22"/>
      <c r="BK835" s="22"/>
      <c r="BL835" s="22"/>
      <c r="BM835" s="22"/>
      <c r="BN835" s="22"/>
      <c r="BO835" s="4"/>
      <c r="BP835" s="4"/>
      <c r="BQ835" s="4"/>
      <c r="BR835" s="4"/>
      <c r="BS835" s="4"/>
      <c r="BT835" s="22"/>
      <c r="BU835" s="24"/>
    </row>
    <row r="836" spans="1:73" ht="73.5" customHeight="1" outlineLevel="2">
      <c r="A836" s="44" t="s">
        <v>481</v>
      </c>
      <c r="B836" s="26" t="s">
        <v>1030</v>
      </c>
      <c r="C836" s="39">
        <f t="shared" si="138"/>
        <v>176.16215</v>
      </c>
      <c r="D836" s="1">
        <f t="shared" si="139"/>
        <v>112.27277000000001</v>
      </c>
      <c r="E836" s="1">
        <f t="shared" si="140"/>
        <v>63.88938</v>
      </c>
      <c r="F836" s="22"/>
      <c r="G836" s="22"/>
      <c r="H836" s="22"/>
      <c r="I836" s="22"/>
      <c r="J836" s="22"/>
      <c r="K836" s="22"/>
      <c r="L836" s="22"/>
      <c r="M836" s="22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22"/>
      <c r="AA836" s="22"/>
      <c r="AB836" s="4">
        <v>32.44164</v>
      </c>
      <c r="AC836" s="4">
        <v>13.98548</v>
      </c>
      <c r="AD836" s="22"/>
      <c r="AE836" s="22"/>
      <c r="AF836" s="22"/>
      <c r="AG836" s="22"/>
      <c r="AH836" s="20"/>
      <c r="AI836" s="4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4"/>
      <c r="BA836" s="4"/>
      <c r="BB836" s="4"/>
      <c r="BC836" s="22"/>
      <c r="BD836" s="22"/>
      <c r="BE836" s="22"/>
      <c r="BF836" s="22">
        <v>79.83113</v>
      </c>
      <c r="BG836" s="22">
        <v>49.9039</v>
      </c>
      <c r="BH836" s="22"/>
      <c r="BI836" s="22"/>
      <c r="BJ836" s="22"/>
      <c r="BK836" s="22"/>
      <c r="BL836" s="22"/>
      <c r="BM836" s="22"/>
      <c r="BN836" s="22"/>
      <c r="BO836" s="4"/>
      <c r="BP836" s="4"/>
      <c r="BQ836" s="4"/>
      <c r="BR836" s="4"/>
      <c r="BS836" s="4"/>
      <c r="BT836" s="22"/>
      <c r="BU836" s="24"/>
    </row>
    <row r="837" spans="1:73" ht="73.5" customHeight="1" outlineLevel="2">
      <c r="A837" s="44" t="s">
        <v>481</v>
      </c>
      <c r="B837" s="26" t="s">
        <v>1031</v>
      </c>
      <c r="C837" s="39">
        <f t="shared" si="138"/>
        <v>766.69515</v>
      </c>
      <c r="D837" s="1">
        <f t="shared" si="139"/>
        <v>303.39919999999995</v>
      </c>
      <c r="E837" s="1">
        <f t="shared" si="140"/>
        <v>463.29595</v>
      </c>
      <c r="F837" s="22"/>
      <c r="G837" s="22"/>
      <c r="H837" s="22"/>
      <c r="I837" s="22"/>
      <c r="J837" s="22"/>
      <c r="K837" s="22"/>
      <c r="L837" s="22"/>
      <c r="M837" s="22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22"/>
      <c r="AA837" s="22"/>
      <c r="AB837" s="4">
        <v>134.4818</v>
      </c>
      <c r="AC837" s="4">
        <v>55.47573</v>
      </c>
      <c r="AD837" s="22"/>
      <c r="AE837" s="22"/>
      <c r="AF837" s="22"/>
      <c r="AG837" s="22"/>
      <c r="AH837" s="20"/>
      <c r="AI837" s="4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4"/>
      <c r="BA837" s="4"/>
      <c r="BB837" s="4"/>
      <c r="BC837" s="22"/>
      <c r="BD837" s="22">
        <v>302.17485</v>
      </c>
      <c r="BE837" s="22"/>
      <c r="BF837" s="22">
        <v>168.9174</v>
      </c>
      <c r="BG837" s="22">
        <v>105.64537</v>
      </c>
      <c r="BH837" s="22"/>
      <c r="BI837" s="22"/>
      <c r="BJ837" s="22"/>
      <c r="BK837" s="22"/>
      <c r="BL837" s="22"/>
      <c r="BM837" s="22"/>
      <c r="BN837" s="22"/>
      <c r="BO837" s="4"/>
      <c r="BP837" s="4"/>
      <c r="BQ837" s="4"/>
      <c r="BR837" s="4"/>
      <c r="BS837" s="4"/>
      <c r="BT837" s="22"/>
      <c r="BU837" s="24"/>
    </row>
    <row r="838" spans="1:73" ht="73.5" customHeight="1" outlineLevel="2">
      <c r="A838" s="44" t="s">
        <v>481</v>
      </c>
      <c r="B838" s="26" t="s">
        <v>1032</v>
      </c>
      <c r="C838" s="39">
        <f t="shared" si="138"/>
        <v>159.93456</v>
      </c>
      <c r="D838" s="1">
        <f t="shared" si="139"/>
        <v>92.7738</v>
      </c>
      <c r="E838" s="1">
        <f t="shared" si="140"/>
        <v>67.16076000000001</v>
      </c>
      <c r="F838" s="22"/>
      <c r="G838" s="22"/>
      <c r="H838" s="22"/>
      <c r="I838" s="22"/>
      <c r="J838" s="22"/>
      <c r="K838" s="22"/>
      <c r="L838" s="22"/>
      <c r="M838" s="22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22"/>
      <c r="AA838" s="22"/>
      <c r="AB838" s="4">
        <v>48.44326</v>
      </c>
      <c r="AC838" s="4">
        <v>19.81276</v>
      </c>
      <c r="AD838" s="22"/>
      <c r="AE838" s="22"/>
      <c r="AF838" s="22"/>
      <c r="AG838" s="22"/>
      <c r="AH838" s="20">
        <f>3.60532+4.8177+11.2424</f>
        <v>19.66542</v>
      </c>
      <c r="AI838" s="4">
        <v>11.2424</v>
      </c>
      <c r="AJ838" s="22">
        <v>8.42302</v>
      </c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4"/>
      <c r="BA838" s="4"/>
      <c r="BB838" s="4"/>
      <c r="BC838" s="22"/>
      <c r="BD838" s="22"/>
      <c r="BE838" s="22"/>
      <c r="BF838" s="22">
        <v>44.33054</v>
      </c>
      <c r="BG838" s="22">
        <v>27.68258</v>
      </c>
      <c r="BH838" s="22"/>
      <c r="BI838" s="22"/>
      <c r="BJ838" s="22"/>
      <c r="BK838" s="22"/>
      <c r="BL838" s="22"/>
      <c r="BM838" s="22"/>
      <c r="BN838" s="22"/>
      <c r="BO838" s="4"/>
      <c r="BP838" s="4"/>
      <c r="BQ838" s="4"/>
      <c r="BR838" s="4"/>
      <c r="BS838" s="4"/>
      <c r="BT838" s="22"/>
      <c r="BU838" s="24"/>
    </row>
    <row r="839" spans="1:73" ht="73.5" customHeight="1" outlineLevel="2">
      <c r="A839" s="44" t="s">
        <v>481</v>
      </c>
      <c r="B839" s="26" t="s">
        <v>1033</v>
      </c>
      <c r="C839" s="39">
        <f t="shared" si="138"/>
        <v>227.41367000000002</v>
      </c>
      <c r="D839" s="1">
        <f t="shared" si="139"/>
        <v>147.12371000000002</v>
      </c>
      <c r="E839" s="1">
        <f t="shared" si="140"/>
        <v>80.28996000000001</v>
      </c>
      <c r="F839" s="22"/>
      <c r="G839" s="22"/>
      <c r="H839" s="22"/>
      <c r="I839" s="22"/>
      <c r="J839" s="22"/>
      <c r="K839" s="22"/>
      <c r="L839" s="22"/>
      <c r="M839" s="22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22"/>
      <c r="AA839" s="22"/>
      <c r="AB839" s="23">
        <v>57.7958</v>
      </c>
      <c r="AC839" s="4">
        <v>24.47459</v>
      </c>
      <c r="AD839" s="22"/>
      <c r="AE839" s="22"/>
      <c r="AF839" s="22"/>
      <c r="AG839" s="22"/>
      <c r="AH839" s="20"/>
      <c r="AI839" s="4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4"/>
      <c r="BA839" s="4"/>
      <c r="BB839" s="4"/>
      <c r="BC839" s="22"/>
      <c r="BD839" s="22"/>
      <c r="BE839" s="22"/>
      <c r="BF839" s="22">
        <v>89.32791</v>
      </c>
      <c r="BG839" s="22">
        <v>55.81537</v>
      </c>
      <c r="BH839" s="22"/>
      <c r="BI839" s="22"/>
      <c r="BJ839" s="22"/>
      <c r="BK839" s="22"/>
      <c r="BL839" s="22"/>
      <c r="BM839" s="22"/>
      <c r="BN839" s="22"/>
      <c r="BO839" s="4"/>
      <c r="BP839" s="4"/>
      <c r="BQ839" s="4"/>
      <c r="BR839" s="4"/>
      <c r="BS839" s="4"/>
      <c r="BT839" s="22"/>
      <c r="BU839" s="24"/>
    </row>
    <row r="840" spans="1:73" ht="73.5" customHeight="1" outlineLevel="2">
      <c r="A840" s="44" t="s">
        <v>481</v>
      </c>
      <c r="B840" s="26" t="s">
        <v>1034</v>
      </c>
      <c r="C840" s="39">
        <f t="shared" si="138"/>
        <v>51.579719999999995</v>
      </c>
      <c r="D840" s="1">
        <f t="shared" si="139"/>
        <v>9.36908</v>
      </c>
      <c r="E840" s="1">
        <f t="shared" si="140"/>
        <v>42.21064</v>
      </c>
      <c r="F840" s="22"/>
      <c r="G840" s="22"/>
      <c r="H840" s="22"/>
      <c r="I840" s="22"/>
      <c r="J840" s="22"/>
      <c r="K840" s="22"/>
      <c r="L840" s="22"/>
      <c r="M840" s="22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22"/>
      <c r="AA840" s="22"/>
      <c r="AB840" s="23"/>
      <c r="AC840" s="4"/>
      <c r="AD840" s="22"/>
      <c r="AE840" s="22"/>
      <c r="AF840" s="22"/>
      <c r="AG840" s="22"/>
      <c r="AH840" s="20"/>
      <c r="AI840" s="4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4"/>
      <c r="BA840" s="4"/>
      <c r="BB840" s="4"/>
      <c r="BC840" s="22"/>
      <c r="BD840" s="22">
        <v>36.34225</v>
      </c>
      <c r="BE840" s="22"/>
      <c r="BF840" s="22">
        <v>9.36908</v>
      </c>
      <c r="BG840" s="22">
        <v>5.86839</v>
      </c>
      <c r="BH840" s="22"/>
      <c r="BI840" s="22"/>
      <c r="BJ840" s="22"/>
      <c r="BK840" s="22"/>
      <c r="BL840" s="22"/>
      <c r="BM840" s="22"/>
      <c r="BN840" s="22"/>
      <c r="BO840" s="4"/>
      <c r="BP840" s="4"/>
      <c r="BQ840" s="4"/>
      <c r="BR840" s="4"/>
      <c r="BS840" s="4"/>
      <c r="BT840" s="22"/>
      <c r="BU840" s="24"/>
    </row>
    <row r="841" spans="1:73" ht="73.5" customHeight="1" outlineLevel="2">
      <c r="A841" s="44" t="s">
        <v>481</v>
      </c>
      <c r="B841" s="26" t="s">
        <v>1035</v>
      </c>
      <c r="C841" s="39">
        <f t="shared" si="138"/>
        <v>52.66539</v>
      </c>
      <c r="D841" s="1">
        <f t="shared" si="139"/>
        <v>32.94203</v>
      </c>
      <c r="E841" s="1">
        <f t="shared" si="140"/>
        <v>19.72336</v>
      </c>
      <c r="F841" s="22"/>
      <c r="G841" s="22"/>
      <c r="H841" s="22"/>
      <c r="I841" s="22"/>
      <c r="J841" s="22"/>
      <c r="K841" s="22"/>
      <c r="L841" s="22"/>
      <c r="M841" s="22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22"/>
      <c r="AA841" s="22"/>
      <c r="AB841" s="4">
        <v>5.16338</v>
      </c>
      <c r="AC841" s="4">
        <v>2.33091</v>
      </c>
      <c r="AD841" s="22"/>
      <c r="AE841" s="22"/>
      <c r="AF841" s="22"/>
      <c r="AG841" s="22"/>
      <c r="AH841" s="20"/>
      <c r="AI841" s="4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4"/>
      <c r="BA841" s="4"/>
      <c r="BB841" s="4"/>
      <c r="BC841" s="22"/>
      <c r="BD841" s="22"/>
      <c r="BE841" s="22"/>
      <c r="BF841" s="22">
        <v>27.77865</v>
      </c>
      <c r="BG841" s="22">
        <v>17.39245</v>
      </c>
      <c r="BH841" s="22"/>
      <c r="BI841" s="22"/>
      <c r="BJ841" s="22"/>
      <c r="BK841" s="22"/>
      <c r="BL841" s="22"/>
      <c r="BM841" s="22"/>
      <c r="BN841" s="22"/>
      <c r="BO841" s="4"/>
      <c r="BP841" s="4"/>
      <c r="BQ841" s="4"/>
      <c r="BR841" s="4"/>
      <c r="BS841" s="4"/>
      <c r="BT841" s="22"/>
      <c r="BU841" s="24"/>
    </row>
    <row r="842" spans="1:73" ht="73.5" customHeight="1" outlineLevel="2">
      <c r="A842" s="44" t="s">
        <v>481</v>
      </c>
      <c r="B842" s="26" t="s">
        <v>1036</v>
      </c>
      <c r="C842" s="39">
        <f t="shared" si="138"/>
        <v>313.02433</v>
      </c>
      <c r="D842" s="1">
        <f t="shared" si="139"/>
        <v>172.91816</v>
      </c>
      <c r="E842" s="1">
        <f t="shared" si="140"/>
        <v>140.10617000000002</v>
      </c>
      <c r="F842" s="22"/>
      <c r="G842" s="22"/>
      <c r="H842" s="22"/>
      <c r="I842" s="22"/>
      <c r="J842" s="22"/>
      <c r="K842" s="22"/>
      <c r="L842" s="22"/>
      <c r="M842" s="22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22">
        <v>5.21274</v>
      </c>
      <c r="AA842" s="22">
        <v>7.1685</v>
      </c>
      <c r="AB842" s="23">
        <v>76.72009</v>
      </c>
      <c r="AC842" s="4">
        <v>34.9637</v>
      </c>
      <c r="AD842" s="22"/>
      <c r="AE842" s="22"/>
      <c r="AF842" s="22"/>
      <c r="AG842" s="22"/>
      <c r="AH842" s="20">
        <f>9.0133+9.6354+22.4848</f>
        <v>41.1335</v>
      </c>
      <c r="AI842" s="4">
        <v>22.4848</v>
      </c>
      <c r="AJ842" s="22">
        <v>18.6487</v>
      </c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4"/>
      <c r="BA842" s="4"/>
      <c r="BB842" s="4"/>
      <c r="BC842" s="22"/>
      <c r="BD842" s="22"/>
      <c r="BE842" s="22"/>
      <c r="BF842" s="22">
        <v>90.98533</v>
      </c>
      <c r="BG842" s="22">
        <v>56.84047</v>
      </c>
      <c r="BH842" s="22"/>
      <c r="BI842" s="22"/>
      <c r="BJ842" s="22"/>
      <c r="BK842" s="22"/>
      <c r="BL842" s="22"/>
      <c r="BM842" s="22"/>
      <c r="BN842" s="22"/>
      <c r="BO842" s="4"/>
      <c r="BP842" s="4"/>
      <c r="BQ842" s="4"/>
      <c r="BR842" s="4"/>
      <c r="BS842" s="4"/>
      <c r="BT842" s="22"/>
      <c r="BU842" s="24"/>
    </row>
    <row r="843" spans="1:73" ht="73.5" customHeight="1" outlineLevel="2">
      <c r="A843" s="44" t="s">
        <v>481</v>
      </c>
      <c r="B843" s="26" t="s">
        <v>1037</v>
      </c>
      <c r="C843" s="39">
        <f t="shared" si="138"/>
        <v>67.41985</v>
      </c>
      <c r="D843" s="1">
        <f t="shared" si="139"/>
        <v>41.47388</v>
      </c>
      <c r="E843" s="1">
        <f t="shared" si="140"/>
        <v>25.94597</v>
      </c>
      <c r="F843" s="22"/>
      <c r="G843" s="22"/>
      <c r="H843" s="22"/>
      <c r="I843" s="22"/>
      <c r="J843" s="22"/>
      <c r="K843" s="22"/>
      <c r="L843" s="22"/>
      <c r="M843" s="22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22"/>
      <c r="AA843" s="22"/>
      <c r="AB843" s="23"/>
      <c r="AC843" s="4"/>
      <c r="AD843" s="22"/>
      <c r="AE843" s="22"/>
      <c r="AF843" s="22"/>
      <c r="AG843" s="22"/>
      <c r="AH843" s="20"/>
      <c r="AI843" s="4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4"/>
      <c r="BA843" s="4"/>
      <c r="BB843" s="4"/>
      <c r="BC843" s="22"/>
      <c r="BD843" s="22"/>
      <c r="BE843" s="22"/>
      <c r="BF843" s="22">
        <v>41.47388</v>
      </c>
      <c r="BG843" s="22">
        <v>25.94597</v>
      </c>
      <c r="BH843" s="22"/>
      <c r="BI843" s="22"/>
      <c r="BJ843" s="22"/>
      <c r="BK843" s="22"/>
      <c r="BL843" s="22"/>
      <c r="BM843" s="22"/>
      <c r="BN843" s="22"/>
      <c r="BO843" s="4"/>
      <c r="BP843" s="4"/>
      <c r="BQ843" s="4"/>
      <c r="BR843" s="4"/>
      <c r="BS843" s="4"/>
      <c r="BT843" s="22"/>
      <c r="BU843" s="24"/>
    </row>
    <row r="844" spans="1:73" ht="73.5" customHeight="1" outlineLevel="2">
      <c r="A844" s="44" t="s">
        <v>481</v>
      </c>
      <c r="B844" s="26" t="s">
        <v>1038</v>
      </c>
      <c r="C844" s="39">
        <f t="shared" si="138"/>
        <v>208.94001</v>
      </c>
      <c r="D844" s="1">
        <f t="shared" si="139"/>
        <v>115.3827</v>
      </c>
      <c r="E844" s="1">
        <f t="shared" si="140"/>
        <v>93.55731</v>
      </c>
      <c r="F844" s="22"/>
      <c r="G844" s="22"/>
      <c r="H844" s="22"/>
      <c r="I844" s="22"/>
      <c r="J844" s="22"/>
      <c r="K844" s="22"/>
      <c r="L844" s="22"/>
      <c r="M844" s="22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22"/>
      <c r="AA844" s="22">
        <v>2.3085</v>
      </c>
      <c r="AB844" s="23">
        <v>48.55286</v>
      </c>
      <c r="AC844" s="4">
        <v>20.97822</v>
      </c>
      <c r="AD844" s="22"/>
      <c r="AE844" s="22"/>
      <c r="AF844" s="22"/>
      <c r="AG844" s="22"/>
      <c r="AH844" s="20">
        <f>4.50665+7.22655+16.8636</f>
        <v>28.5968</v>
      </c>
      <c r="AI844" s="4">
        <v>16.8636</v>
      </c>
      <c r="AJ844" s="22">
        <v>11.7332</v>
      </c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4"/>
      <c r="BA844" s="4"/>
      <c r="BB844" s="4"/>
      <c r="BC844" s="22"/>
      <c r="BD844" s="22"/>
      <c r="BE844" s="22"/>
      <c r="BF844" s="22">
        <v>66.82984</v>
      </c>
      <c r="BG844" s="22">
        <v>41.67379</v>
      </c>
      <c r="BH844" s="22"/>
      <c r="BI844" s="22"/>
      <c r="BJ844" s="22"/>
      <c r="BK844" s="22"/>
      <c r="BL844" s="22"/>
      <c r="BM844" s="22"/>
      <c r="BN844" s="22"/>
      <c r="BO844" s="4"/>
      <c r="BP844" s="4"/>
      <c r="BQ844" s="4"/>
      <c r="BR844" s="4"/>
      <c r="BS844" s="4"/>
      <c r="BT844" s="22"/>
      <c r="BU844" s="24"/>
    </row>
    <row r="845" spans="1:73" ht="73.5" customHeight="1" outlineLevel="2">
      <c r="A845" s="44" t="s">
        <v>481</v>
      </c>
      <c r="B845" s="26" t="s">
        <v>1039</v>
      </c>
      <c r="C845" s="39">
        <f t="shared" si="138"/>
        <v>144.26848</v>
      </c>
      <c r="D845" s="1">
        <f t="shared" si="139"/>
        <v>66.38671</v>
      </c>
      <c r="E845" s="1">
        <f t="shared" si="140"/>
        <v>77.88177</v>
      </c>
      <c r="F845" s="22"/>
      <c r="G845" s="22"/>
      <c r="H845" s="22"/>
      <c r="I845" s="22"/>
      <c r="J845" s="22"/>
      <c r="K845" s="22"/>
      <c r="L845" s="22"/>
      <c r="M845" s="22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22"/>
      <c r="AA845" s="22"/>
      <c r="AB845" s="23">
        <v>21.48163</v>
      </c>
      <c r="AC845" s="4">
        <v>9.78984</v>
      </c>
      <c r="AD845" s="22"/>
      <c r="AE845" s="22"/>
      <c r="AF845" s="22"/>
      <c r="AG845" s="22"/>
      <c r="AH845" s="20"/>
      <c r="AI845" s="4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>
        <v>40.02</v>
      </c>
      <c r="AX845" s="22"/>
      <c r="AY845" s="22"/>
      <c r="AZ845" s="4"/>
      <c r="BA845" s="4"/>
      <c r="BB845" s="4"/>
      <c r="BC845" s="22"/>
      <c r="BD845" s="22"/>
      <c r="BE845" s="22"/>
      <c r="BF845" s="22">
        <v>44.90508</v>
      </c>
      <c r="BG845" s="22">
        <v>28.07193</v>
      </c>
      <c r="BH845" s="22"/>
      <c r="BI845" s="22"/>
      <c r="BJ845" s="22"/>
      <c r="BK845" s="22"/>
      <c r="BL845" s="22"/>
      <c r="BM845" s="22"/>
      <c r="BN845" s="22"/>
      <c r="BO845" s="4"/>
      <c r="BP845" s="4"/>
      <c r="BQ845" s="4"/>
      <c r="BR845" s="4"/>
      <c r="BS845" s="4"/>
      <c r="BT845" s="22"/>
      <c r="BU845" s="24"/>
    </row>
    <row r="846" spans="1:73" ht="73.5" customHeight="1" outlineLevel="2">
      <c r="A846" s="44" t="s">
        <v>481</v>
      </c>
      <c r="B846" s="26" t="s">
        <v>1040</v>
      </c>
      <c r="C846" s="39">
        <f t="shared" si="138"/>
        <v>1580.4</v>
      </c>
      <c r="D846" s="1">
        <f t="shared" si="139"/>
        <v>0</v>
      </c>
      <c r="E846" s="1">
        <f t="shared" si="140"/>
        <v>1580.4</v>
      </c>
      <c r="F846" s="22"/>
      <c r="G846" s="22"/>
      <c r="H846" s="22"/>
      <c r="I846" s="22"/>
      <c r="J846" s="22"/>
      <c r="K846" s="22"/>
      <c r="L846" s="22"/>
      <c r="M846" s="22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22"/>
      <c r="AA846" s="22"/>
      <c r="AB846" s="23"/>
      <c r="AC846" s="4"/>
      <c r="AD846" s="22"/>
      <c r="AE846" s="22"/>
      <c r="AF846" s="22"/>
      <c r="AG846" s="22"/>
      <c r="AH846" s="20"/>
      <c r="AI846" s="4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4"/>
      <c r="BA846" s="4"/>
      <c r="BB846" s="4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4"/>
      <c r="BP846" s="4"/>
      <c r="BQ846" s="4"/>
      <c r="BR846" s="4"/>
      <c r="BS846" s="4"/>
      <c r="BT846" s="22">
        <v>1580.4</v>
      </c>
      <c r="BU846" s="24"/>
    </row>
    <row r="847" spans="1:73" ht="73.5" customHeight="1" outlineLevel="2">
      <c r="A847" s="44" t="s">
        <v>481</v>
      </c>
      <c r="B847" s="26" t="s">
        <v>1041</v>
      </c>
      <c r="C847" s="39">
        <f t="shared" si="138"/>
        <v>117.66421</v>
      </c>
      <c r="D847" s="1">
        <f t="shared" si="139"/>
        <v>80.42386</v>
      </c>
      <c r="E847" s="1">
        <f t="shared" si="140"/>
        <v>37.24035</v>
      </c>
      <c r="F847" s="22"/>
      <c r="G847" s="22"/>
      <c r="H847" s="22"/>
      <c r="I847" s="22"/>
      <c r="J847" s="22"/>
      <c r="K847" s="22"/>
      <c r="L847" s="22"/>
      <c r="M847" s="22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22"/>
      <c r="AA847" s="22">
        <v>35.13775</v>
      </c>
      <c r="AB847" s="23"/>
      <c r="AC847" s="4"/>
      <c r="AD847" s="22"/>
      <c r="AE847" s="22"/>
      <c r="AF847" s="22"/>
      <c r="AG847" s="22"/>
      <c r="AH847" s="20"/>
      <c r="AI847" s="4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4"/>
      <c r="BA847" s="4"/>
      <c r="BB847" s="4"/>
      <c r="BC847" s="22"/>
      <c r="BD847" s="22"/>
      <c r="BE847" s="22"/>
      <c r="BF847" s="22">
        <v>10.22386</v>
      </c>
      <c r="BG847" s="22">
        <v>2.1026</v>
      </c>
      <c r="BH847" s="22">
        <v>70.2</v>
      </c>
      <c r="BI847" s="22"/>
      <c r="BJ847" s="22"/>
      <c r="BK847" s="22"/>
      <c r="BL847" s="22"/>
      <c r="BM847" s="22"/>
      <c r="BN847" s="22"/>
      <c r="BO847" s="4"/>
      <c r="BP847" s="4"/>
      <c r="BQ847" s="4"/>
      <c r="BR847" s="4"/>
      <c r="BS847" s="4"/>
      <c r="BT847" s="22"/>
      <c r="BU847" s="24"/>
    </row>
    <row r="848" spans="1:73" ht="73.5" customHeight="1" outlineLevel="2">
      <c r="A848" s="44" t="s">
        <v>481</v>
      </c>
      <c r="B848" s="26" t="s">
        <v>1042</v>
      </c>
      <c r="C848" s="39">
        <f t="shared" si="138"/>
        <v>190.13596</v>
      </c>
      <c r="D848" s="1">
        <f t="shared" si="139"/>
        <v>0</v>
      </c>
      <c r="E848" s="1">
        <f t="shared" si="140"/>
        <v>190.13596</v>
      </c>
      <c r="F848" s="22"/>
      <c r="G848" s="22"/>
      <c r="H848" s="22"/>
      <c r="I848" s="22"/>
      <c r="J848" s="22"/>
      <c r="K848" s="22"/>
      <c r="L848" s="22"/>
      <c r="M848" s="22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22"/>
      <c r="AA848" s="22"/>
      <c r="AB848" s="23"/>
      <c r="AC848" s="4"/>
      <c r="AD848" s="22"/>
      <c r="AE848" s="22"/>
      <c r="AF848" s="22"/>
      <c r="AG848" s="22"/>
      <c r="AH848" s="20"/>
      <c r="AI848" s="4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Z848" s="22">
        <v>43.13596</v>
      </c>
      <c r="BA848" s="4"/>
      <c r="BB848" s="4"/>
      <c r="BC848" s="22"/>
      <c r="BD848" s="22"/>
      <c r="BE848" s="22">
        <v>147</v>
      </c>
      <c r="BF848" s="22"/>
      <c r="BG848" s="22"/>
      <c r="BH848" s="22"/>
      <c r="BI848" s="22"/>
      <c r="BJ848" s="22"/>
      <c r="BK848" s="22"/>
      <c r="BL848" s="22"/>
      <c r="BM848" s="22"/>
      <c r="BN848" s="22"/>
      <c r="BO848" s="4"/>
      <c r="BP848" s="4"/>
      <c r="BQ848" s="4"/>
      <c r="BR848" s="4"/>
      <c r="BS848" s="4"/>
      <c r="BT848" s="22"/>
      <c r="BU848" s="24"/>
    </row>
    <row r="849" spans="1:73" ht="73.5" customHeight="1" outlineLevel="2">
      <c r="A849" s="44" t="s">
        <v>481</v>
      </c>
      <c r="B849" s="26" t="s">
        <v>1043</v>
      </c>
      <c r="C849" s="39">
        <f t="shared" si="138"/>
        <v>91.44038</v>
      </c>
      <c r="D849" s="1">
        <f t="shared" si="139"/>
        <v>44.313849999999995</v>
      </c>
      <c r="E849" s="1">
        <f t="shared" si="140"/>
        <v>47.12653</v>
      </c>
      <c r="F849" s="22"/>
      <c r="G849" s="22"/>
      <c r="H849" s="22"/>
      <c r="I849" s="22"/>
      <c r="J849" s="22"/>
      <c r="K849" s="22"/>
      <c r="L849" s="22"/>
      <c r="M849" s="22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22">
        <v>17.37579</v>
      </c>
      <c r="AA849" s="22">
        <v>23.895</v>
      </c>
      <c r="AB849" s="23">
        <v>11.93424</v>
      </c>
      <c r="AC849" s="4">
        <v>5.82728</v>
      </c>
      <c r="AD849" s="22"/>
      <c r="AE849" s="22"/>
      <c r="AF849" s="22"/>
      <c r="AG849" s="22"/>
      <c r="AH849" s="20">
        <f>2.40885+5.6212</f>
        <v>8.03005</v>
      </c>
      <c r="AI849" s="4">
        <v>5.6212</v>
      </c>
      <c r="AJ849" s="22">
        <v>2.40885</v>
      </c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4"/>
      <c r="BA849" s="4"/>
      <c r="BB849" s="4"/>
      <c r="BC849" s="22"/>
      <c r="BD849" s="22"/>
      <c r="BE849" s="22"/>
      <c r="BF849" s="22">
        <v>15.00382</v>
      </c>
      <c r="BG849" s="22">
        <v>9.3742</v>
      </c>
      <c r="BH849" s="22"/>
      <c r="BI849" s="22"/>
      <c r="BJ849" s="22"/>
      <c r="BK849" s="22"/>
      <c r="BL849" s="22"/>
      <c r="BM849" s="22"/>
      <c r="BN849" s="22"/>
      <c r="BO849" s="4"/>
      <c r="BP849" s="4"/>
      <c r="BQ849" s="4"/>
      <c r="BR849" s="4"/>
      <c r="BS849" s="4"/>
      <c r="BT849" s="22"/>
      <c r="BU849" s="24"/>
    </row>
    <row r="850" spans="1:73" ht="73.5" customHeight="1" outlineLevel="2">
      <c r="A850" s="44" t="s">
        <v>481</v>
      </c>
      <c r="B850" s="26" t="s">
        <v>1044</v>
      </c>
      <c r="C850" s="39">
        <f>D850+E850</f>
        <v>110.30912000000001</v>
      </c>
      <c r="D850" s="1">
        <f t="shared" si="139"/>
        <v>83.03744</v>
      </c>
      <c r="E850" s="1">
        <f t="shared" si="140"/>
        <v>27.27168</v>
      </c>
      <c r="F850" s="22"/>
      <c r="G850" s="22"/>
      <c r="H850" s="22"/>
      <c r="I850" s="22"/>
      <c r="J850" s="22"/>
      <c r="K850" s="22"/>
      <c r="L850" s="22"/>
      <c r="M850" s="22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22"/>
      <c r="AA850" s="22"/>
      <c r="AB850" s="23">
        <v>83.03744</v>
      </c>
      <c r="AC850" s="4">
        <v>27.27168</v>
      </c>
      <c r="AD850" s="22"/>
      <c r="AE850" s="22"/>
      <c r="AF850" s="22"/>
      <c r="AG850" s="22"/>
      <c r="AH850" s="20"/>
      <c r="AI850" s="4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4"/>
      <c r="BA850" s="4"/>
      <c r="BB850" s="4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4"/>
      <c r="BP850" s="4"/>
      <c r="BQ850" s="4"/>
      <c r="BR850" s="4"/>
      <c r="BS850" s="4"/>
      <c r="BT850" s="22"/>
      <c r="BU850" s="24"/>
    </row>
    <row r="851" spans="1:73" ht="73.5" customHeight="1" outlineLevel="2">
      <c r="A851" s="44" t="s">
        <v>481</v>
      </c>
      <c r="B851" s="26" t="s">
        <v>1045</v>
      </c>
      <c r="C851" s="39">
        <f>D851+E851</f>
        <v>2988.26239</v>
      </c>
      <c r="D851" s="1">
        <f t="shared" si="139"/>
        <v>14.79602</v>
      </c>
      <c r="E851" s="1">
        <f t="shared" si="140"/>
        <v>2973.4663699999996</v>
      </c>
      <c r="F851" s="22"/>
      <c r="G851" s="22"/>
      <c r="H851" s="22"/>
      <c r="I851" s="22"/>
      <c r="J851" s="22"/>
      <c r="K851" s="22"/>
      <c r="L851" s="22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22"/>
      <c r="AA851" s="22"/>
      <c r="AB851" s="23">
        <v>14.79602</v>
      </c>
      <c r="AC851" s="4">
        <v>3.49637</v>
      </c>
      <c r="AD851" s="22"/>
      <c r="AE851" s="22"/>
      <c r="AF851" s="22"/>
      <c r="AG851" s="22"/>
      <c r="AH851" s="20"/>
      <c r="AI851" s="4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4"/>
      <c r="BA851" s="4"/>
      <c r="BB851" s="4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4"/>
      <c r="BP851" s="4">
        <v>2969.97</v>
      </c>
      <c r="BQ851" s="4"/>
      <c r="BR851" s="4"/>
      <c r="BS851" s="4"/>
      <c r="BT851" s="22"/>
      <c r="BU851" s="24"/>
    </row>
    <row r="852" spans="1:73" ht="73.5" customHeight="1" outlineLevel="2">
      <c r="A852" s="44" t="s">
        <v>481</v>
      </c>
      <c r="B852" s="26" t="s">
        <v>1046</v>
      </c>
      <c r="C852" s="39">
        <f>D852+E852</f>
        <v>321.11119</v>
      </c>
      <c r="D852" s="1">
        <f t="shared" si="139"/>
        <v>59.20843</v>
      </c>
      <c r="E852" s="1">
        <f t="shared" si="140"/>
        <v>261.90276</v>
      </c>
      <c r="F852" s="22"/>
      <c r="G852" s="22"/>
      <c r="H852" s="22"/>
      <c r="I852" s="22"/>
      <c r="J852" s="22"/>
      <c r="K852" s="22"/>
      <c r="L852" s="22"/>
      <c r="M852" s="22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22"/>
      <c r="AA852" s="22"/>
      <c r="AB852" s="23">
        <v>59.20843</v>
      </c>
      <c r="AC852" s="4">
        <v>25.64005</v>
      </c>
      <c r="AD852" s="22"/>
      <c r="AE852" s="22"/>
      <c r="AF852" s="22"/>
      <c r="AG852" s="22"/>
      <c r="AH852" s="20"/>
      <c r="AI852" s="4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4"/>
      <c r="BA852" s="4"/>
      <c r="BB852" s="4"/>
      <c r="BC852" s="22"/>
      <c r="BD852" s="22"/>
      <c r="BE852" s="22">
        <v>236.26271</v>
      </c>
      <c r="BF852" s="22"/>
      <c r="BG852" s="22"/>
      <c r="BH852" s="22"/>
      <c r="BI852" s="22"/>
      <c r="BJ852" s="22"/>
      <c r="BK852" s="22"/>
      <c r="BL852" s="22"/>
      <c r="BM852" s="22"/>
      <c r="BN852" s="22"/>
      <c r="BO852" s="4"/>
      <c r="BP852" s="4"/>
      <c r="BQ852" s="4"/>
      <c r="BR852" s="4"/>
      <c r="BS852" s="4"/>
      <c r="BT852" s="22"/>
      <c r="BU852" s="24"/>
    </row>
    <row r="853" spans="1:73" ht="73.5" customHeight="1" outlineLevel="2">
      <c r="A853" s="44" t="s">
        <v>481</v>
      </c>
      <c r="B853" s="26" t="s">
        <v>27</v>
      </c>
      <c r="C853" s="39">
        <f t="shared" si="138"/>
        <v>306.22132</v>
      </c>
      <c r="D853" s="1">
        <f t="shared" si="139"/>
        <v>142.61806</v>
      </c>
      <c r="E853" s="1">
        <f t="shared" si="140"/>
        <v>163.60325999999998</v>
      </c>
      <c r="F853" s="22"/>
      <c r="G853" s="22"/>
      <c r="H853" s="22"/>
      <c r="I853" s="22"/>
      <c r="J853" s="22"/>
      <c r="K853" s="22"/>
      <c r="L853" s="22"/>
      <c r="M853" s="2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22"/>
      <c r="AA853" s="22"/>
      <c r="AB853" s="23">
        <v>66.44203</v>
      </c>
      <c r="AC853" s="4">
        <v>28.90332</v>
      </c>
      <c r="AD853" s="22"/>
      <c r="AE853" s="22"/>
      <c r="AF853" s="22"/>
      <c r="AG853" s="22"/>
      <c r="AH853" s="20">
        <f>8.11197+9.6354+28.106</f>
        <v>45.85337</v>
      </c>
      <c r="AI853" s="4">
        <v>28.106</v>
      </c>
      <c r="AJ853" s="22">
        <v>17.74737</v>
      </c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4"/>
      <c r="BA853" s="4"/>
      <c r="BB853" s="4"/>
      <c r="BC853" s="22"/>
      <c r="BD853" s="22"/>
      <c r="BE853" s="22">
        <v>41.26</v>
      </c>
      <c r="BF853" s="22">
        <v>76.17603</v>
      </c>
      <c r="BG853" s="22">
        <v>47.58657</v>
      </c>
      <c r="BH853" s="22"/>
      <c r="BI853" s="22"/>
      <c r="BJ853" s="22"/>
      <c r="BK853" s="22"/>
      <c r="BL853" s="22"/>
      <c r="BM853" s="22"/>
      <c r="BN853" s="22"/>
      <c r="BO853" s="4"/>
      <c r="BP853" s="4"/>
      <c r="BQ853" s="4"/>
      <c r="BR853" s="4"/>
      <c r="BS853" s="4"/>
      <c r="BT853" s="22"/>
      <c r="BU853" s="24"/>
    </row>
    <row r="854" spans="1:73" ht="73.5" customHeight="1" outlineLevel="2">
      <c r="A854" s="46" t="s">
        <v>481</v>
      </c>
      <c r="B854" s="45" t="s">
        <v>569</v>
      </c>
      <c r="C854" s="39">
        <f t="shared" si="138"/>
        <v>2143.50942</v>
      </c>
      <c r="D854" s="1">
        <f t="shared" si="139"/>
        <v>0</v>
      </c>
      <c r="E854" s="1">
        <f t="shared" si="140"/>
        <v>2143.50942</v>
      </c>
      <c r="F854" s="22"/>
      <c r="G854" s="22"/>
      <c r="H854" s="22"/>
      <c r="I854" s="22"/>
      <c r="J854" s="22"/>
      <c r="K854" s="22"/>
      <c r="L854" s="22"/>
      <c r="M854" s="22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22"/>
      <c r="AA854" s="22"/>
      <c r="AB854" s="4"/>
      <c r="AC854" s="4"/>
      <c r="AD854" s="22"/>
      <c r="AE854" s="22"/>
      <c r="AF854" s="22"/>
      <c r="AG854" s="22"/>
      <c r="AH854" s="20"/>
      <c r="AI854" s="4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4"/>
      <c r="BA854" s="4"/>
      <c r="BB854" s="4"/>
      <c r="BC854" s="22"/>
      <c r="BD854" s="22"/>
      <c r="BE854" s="22">
        <v>2143.50942</v>
      </c>
      <c r="BF854" s="22"/>
      <c r="BG854" s="22"/>
      <c r="BH854" s="22"/>
      <c r="BI854" s="22"/>
      <c r="BJ854" s="22"/>
      <c r="BK854" s="22"/>
      <c r="BL854" s="22"/>
      <c r="BM854" s="22"/>
      <c r="BN854" s="22"/>
      <c r="BO854" s="4"/>
      <c r="BP854" s="4"/>
      <c r="BQ854" s="4"/>
      <c r="BR854" s="4"/>
      <c r="BS854" s="4"/>
      <c r="BT854" s="22"/>
      <c r="BU854" s="24"/>
    </row>
    <row r="855" spans="1:73" ht="73.5" customHeight="1" outlineLevel="2" thickBot="1">
      <c r="A855" s="46" t="s">
        <v>481</v>
      </c>
      <c r="B855" s="56" t="s">
        <v>577</v>
      </c>
      <c r="C855" s="39">
        <f t="shared" si="138"/>
        <v>41.1335</v>
      </c>
      <c r="D855" s="1">
        <f t="shared" si="139"/>
        <v>0</v>
      </c>
      <c r="E855" s="1">
        <f t="shared" si="140"/>
        <v>41.1335</v>
      </c>
      <c r="F855" s="22"/>
      <c r="G855" s="22"/>
      <c r="H855" s="22"/>
      <c r="I855" s="22"/>
      <c r="J855" s="22"/>
      <c r="K855" s="22"/>
      <c r="L855" s="22"/>
      <c r="M855" s="22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22"/>
      <c r="AA855" s="22"/>
      <c r="AB855" s="4"/>
      <c r="AC855" s="4"/>
      <c r="AD855" s="22"/>
      <c r="AE855" s="22"/>
      <c r="AF855" s="22"/>
      <c r="AG855" s="22"/>
      <c r="AH855" s="20">
        <f>9.0133+9.6354+22.4848</f>
        <v>41.1335</v>
      </c>
      <c r="AI855" s="4">
        <v>22.4848</v>
      </c>
      <c r="AJ855" s="22">
        <v>18.6487</v>
      </c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4"/>
      <c r="BA855" s="4"/>
      <c r="BB855" s="4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4"/>
      <c r="BP855" s="4"/>
      <c r="BQ855" s="4"/>
      <c r="BR855" s="4"/>
      <c r="BS855" s="4"/>
      <c r="BT855" s="22"/>
      <c r="BU855" s="24"/>
    </row>
    <row r="856" spans="1:74" s="35" customFormat="1" ht="73.5" customHeight="1" outlineLevel="1" thickBot="1">
      <c r="A856" s="29" t="s">
        <v>388</v>
      </c>
      <c r="B856" s="48"/>
      <c r="C856" s="49">
        <f aca="true" t="shared" si="141" ref="C856:BN856">SUBTOTAL(9,C826:C855)</f>
        <v>127580.15023999999</v>
      </c>
      <c r="D856" s="49">
        <f t="shared" si="141"/>
        <v>50041.30887000001</v>
      </c>
      <c r="E856" s="49">
        <f t="shared" si="141"/>
        <v>77538.84137</v>
      </c>
      <c r="F856" s="49">
        <f t="shared" si="141"/>
        <v>0</v>
      </c>
      <c r="G856" s="49">
        <f t="shared" si="141"/>
        <v>0</v>
      </c>
      <c r="H856" s="49">
        <f t="shared" si="141"/>
        <v>0</v>
      </c>
      <c r="I856" s="49">
        <f t="shared" si="141"/>
        <v>0</v>
      </c>
      <c r="J856" s="49">
        <f t="shared" si="141"/>
        <v>774.56053</v>
      </c>
      <c r="K856" s="49">
        <f t="shared" si="141"/>
        <v>381.21672</v>
      </c>
      <c r="L856" s="49">
        <f t="shared" si="141"/>
        <v>1525.71682</v>
      </c>
      <c r="M856" s="49">
        <f t="shared" si="141"/>
        <v>0</v>
      </c>
      <c r="N856" s="49">
        <f t="shared" si="141"/>
        <v>0</v>
      </c>
      <c r="O856" s="49">
        <f t="shared" si="141"/>
        <v>0</v>
      </c>
      <c r="P856" s="49">
        <f t="shared" si="141"/>
        <v>0.79754</v>
      </c>
      <c r="Q856" s="49">
        <f t="shared" si="141"/>
        <v>0</v>
      </c>
      <c r="R856" s="49">
        <f t="shared" si="141"/>
        <v>0</v>
      </c>
      <c r="S856" s="49">
        <f t="shared" si="141"/>
        <v>0</v>
      </c>
      <c r="T856" s="49">
        <f t="shared" si="141"/>
        <v>0</v>
      </c>
      <c r="U856" s="49">
        <f t="shared" si="141"/>
        <v>0</v>
      </c>
      <c r="V856" s="49">
        <f t="shared" si="141"/>
        <v>0</v>
      </c>
      <c r="W856" s="49">
        <f t="shared" si="141"/>
        <v>0</v>
      </c>
      <c r="X856" s="49">
        <f t="shared" si="141"/>
        <v>0</v>
      </c>
      <c r="Y856" s="49">
        <f t="shared" si="141"/>
        <v>0</v>
      </c>
      <c r="Z856" s="49">
        <f t="shared" si="141"/>
        <v>2638.4170000000004</v>
      </c>
      <c r="AA856" s="49">
        <f t="shared" si="141"/>
        <v>3104.18161</v>
      </c>
      <c r="AB856" s="49">
        <f t="shared" si="141"/>
        <v>12368.332550000001</v>
      </c>
      <c r="AC856" s="49">
        <f t="shared" si="141"/>
        <v>4660.894000000001</v>
      </c>
      <c r="AD856" s="49">
        <f t="shared" si="141"/>
        <v>0</v>
      </c>
      <c r="AE856" s="49">
        <f t="shared" si="141"/>
        <v>0</v>
      </c>
      <c r="AF856" s="49">
        <f t="shared" si="141"/>
        <v>0</v>
      </c>
      <c r="AG856" s="49">
        <f t="shared" si="141"/>
        <v>0</v>
      </c>
      <c r="AH856" s="49">
        <f t="shared" si="141"/>
        <v>11857.77178</v>
      </c>
      <c r="AI856" s="49">
        <f t="shared" si="141"/>
        <v>3414.2094500000007</v>
      </c>
      <c r="AJ856" s="49">
        <f t="shared" si="141"/>
        <v>8443.562329999999</v>
      </c>
      <c r="AK856" s="49">
        <f t="shared" si="141"/>
        <v>0</v>
      </c>
      <c r="AL856" s="49">
        <f t="shared" si="141"/>
        <v>0</v>
      </c>
      <c r="AM856" s="49">
        <f t="shared" si="141"/>
        <v>0</v>
      </c>
      <c r="AN856" s="49">
        <f t="shared" si="141"/>
        <v>0</v>
      </c>
      <c r="AO856" s="49">
        <f t="shared" si="141"/>
        <v>0</v>
      </c>
      <c r="AP856" s="49">
        <f t="shared" si="141"/>
        <v>0</v>
      </c>
      <c r="AQ856" s="49">
        <f t="shared" si="141"/>
        <v>10.375</v>
      </c>
      <c r="AR856" s="49">
        <f t="shared" si="141"/>
        <v>0</v>
      </c>
      <c r="AS856" s="49">
        <f t="shared" si="141"/>
        <v>0</v>
      </c>
      <c r="AT856" s="49">
        <f t="shared" si="141"/>
        <v>0</v>
      </c>
      <c r="AU856" s="49">
        <f t="shared" si="141"/>
        <v>0</v>
      </c>
      <c r="AV856" s="49">
        <f t="shared" si="141"/>
        <v>0</v>
      </c>
      <c r="AW856" s="49">
        <f t="shared" si="141"/>
        <v>40.02</v>
      </c>
      <c r="AX856" s="49">
        <f t="shared" si="141"/>
        <v>0</v>
      </c>
      <c r="AY856" s="49">
        <f t="shared" si="141"/>
        <v>13364.517109999999</v>
      </c>
      <c r="AZ856" s="49">
        <f t="shared" si="141"/>
        <v>13030.14916</v>
      </c>
      <c r="BA856" s="49">
        <f t="shared" si="141"/>
        <v>0</v>
      </c>
      <c r="BB856" s="49">
        <f t="shared" si="141"/>
        <v>0</v>
      </c>
      <c r="BC856" s="49">
        <f t="shared" si="141"/>
        <v>0</v>
      </c>
      <c r="BD856" s="49">
        <f t="shared" si="141"/>
        <v>19231.51712</v>
      </c>
      <c r="BE856" s="49">
        <f t="shared" si="141"/>
        <v>2946.1323199999997</v>
      </c>
      <c r="BF856" s="49">
        <f t="shared" si="141"/>
        <v>20603.881679999995</v>
      </c>
      <c r="BG856" s="49">
        <f t="shared" si="141"/>
        <v>12624.467699999997</v>
      </c>
      <c r="BH856" s="49">
        <f t="shared" si="141"/>
        <v>291.6</v>
      </c>
      <c r="BI856" s="49">
        <f t="shared" si="141"/>
        <v>1150.54261</v>
      </c>
      <c r="BJ856" s="49">
        <f t="shared" si="141"/>
        <v>2424.68899</v>
      </c>
      <c r="BK856" s="49">
        <f t="shared" si="141"/>
        <v>0</v>
      </c>
      <c r="BL856" s="49">
        <f t="shared" si="141"/>
        <v>0</v>
      </c>
      <c r="BM856" s="49">
        <f t="shared" si="141"/>
        <v>0</v>
      </c>
      <c r="BN856" s="49">
        <f t="shared" si="141"/>
        <v>0</v>
      </c>
      <c r="BO856" s="49">
        <f aca="true" t="shared" si="142" ref="BO856:BT856">SUBTOTAL(9,BO826:BO855)</f>
        <v>0</v>
      </c>
      <c r="BP856" s="49">
        <f t="shared" si="142"/>
        <v>2969.97</v>
      </c>
      <c r="BQ856" s="49">
        <f t="shared" si="142"/>
        <v>0</v>
      </c>
      <c r="BR856" s="49">
        <f t="shared" si="142"/>
        <v>0</v>
      </c>
      <c r="BS856" s="2">
        <f t="shared" si="142"/>
        <v>0</v>
      </c>
      <c r="BT856" s="2">
        <f t="shared" si="142"/>
        <v>1580.4</v>
      </c>
      <c r="BU856" s="50"/>
      <c r="BV856" s="34"/>
    </row>
    <row r="857" spans="1:73" ht="73.5" customHeight="1" outlineLevel="2">
      <c r="A857" s="51" t="s">
        <v>4</v>
      </c>
      <c r="B857" s="52" t="s">
        <v>316</v>
      </c>
      <c r="C857" s="39">
        <f>D857+E857</f>
        <v>2603.514</v>
      </c>
      <c r="D857" s="1">
        <f aca="true" t="shared" si="143" ref="D857:D883">F857+J857+N857+R857+T857+Z857+AB857+AD857+AF857+AM857+AO857+AT857+AY857+BF857+BO857+BS857+H857+V857+X857+BQ857+AR857+BH857</f>
        <v>878.63226</v>
      </c>
      <c r="E857" s="1">
        <f aca="true" t="shared" si="144" ref="E857:E883">G857+I857+K857+L857+M857+O857+P857+Q857+S857+U857+W857+Y857+AA857+AC857+AE857+AG857+AH857+AK857+AL857+AN857+AP857+AQ857+AS857+AU857+AV857+AW857+AX857+AZ857+BA857+BB857+BC857+BD857+BE857+BG857+BI857+BJ857+BK857+BL857+BM857+BN857+BU857+BP857+BR857+BT857</f>
        <v>1724.88174</v>
      </c>
      <c r="F857" s="40"/>
      <c r="G857" s="40"/>
      <c r="H857" s="40"/>
      <c r="I857" s="40"/>
      <c r="J857" s="40"/>
      <c r="K857" s="40"/>
      <c r="L857" s="40"/>
      <c r="M857" s="40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0">
        <v>67.5</v>
      </c>
      <c r="AA857" s="40">
        <v>35.8425</v>
      </c>
      <c r="AB857" s="42">
        <v>389.64045</v>
      </c>
      <c r="AC857" s="41">
        <v>124.93695</v>
      </c>
      <c r="AD857" s="40"/>
      <c r="AE857" s="40"/>
      <c r="AF857" s="40"/>
      <c r="AG857" s="40"/>
      <c r="AH857" s="43">
        <f>73.90906+85.45415</f>
        <v>159.36320999999998</v>
      </c>
      <c r="AI857" s="41">
        <v>85.45415</v>
      </c>
      <c r="AJ857" s="40">
        <v>73.90906</v>
      </c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1"/>
      <c r="BA857" s="41"/>
      <c r="BB857" s="41"/>
      <c r="BC857" s="40"/>
      <c r="BD857" s="40">
        <v>530.3809</v>
      </c>
      <c r="BE857" s="40">
        <v>611.02396</v>
      </c>
      <c r="BF857" s="40">
        <v>421.49181</v>
      </c>
      <c r="BG857" s="40">
        <v>263.33422</v>
      </c>
      <c r="BH857" s="40"/>
      <c r="BI857" s="40"/>
      <c r="BJ857" s="40"/>
      <c r="BK857" s="40"/>
      <c r="BL857" s="40"/>
      <c r="BM857" s="40"/>
      <c r="BN857" s="40"/>
      <c r="BO857" s="41"/>
      <c r="BP857" s="41"/>
      <c r="BQ857" s="41"/>
      <c r="BR857" s="41"/>
      <c r="BS857" s="4"/>
      <c r="BT857" s="22"/>
      <c r="BU857" s="24"/>
    </row>
    <row r="858" spans="1:73" ht="73.5" customHeight="1" outlineLevel="2">
      <c r="A858" s="46" t="s">
        <v>4</v>
      </c>
      <c r="B858" s="45" t="s">
        <v>315</v>
      </c>
      <c r="C858" s="39">
        <f aca="true" t="shared" si="145" ref="C858:C883">D858+E858</f>
        <v>1363.81028</v>
      </c>
      <c r="D858" s="1">
        <f t="shared" si="143"/>
        <v>708.76662</v>
      </c>
      <c r="E858" s="1">
        <f t="shared" si="144"/>
        <v>655.0436599999999</v>
      </c>
      <c r="F858" s="22"/>
      <c r="G858" s="22"/>
      <c r="H858" s="22"/>
      <c r="I858" s="22"/>
      <c r="J858" s="22">
        <v>291.4051</v>
      </c>
      <c r="K858" s="22">
        <v>68.45214</v>
      </c>
      <c r="L858" s="22">
        <f>197.72789+20.19766</f>
        <v>217.92555</v>
      </c>
      <c r="M858" s="22"/>
      <c r="N858" s="4"/>
      <c r="O858" s="4"/>
      <c r="P858" s="4"/>
      <c r="Q858" s="4"/>
      <c r="R858" s="4">
        <v>19.27714</v>
      </c>
      <c r="S858" s="4">
        <v>25.67961</v>
      </c>
      <c r="T858" s="4"/>
      <c r="U858" s="4"/>
      <c r="V858" s="4"/>
      <c r="W858" s="4"/>
      <c r="X858" s="4"/>
      <c r="Y858" s="4"/>
      <c r="Z858" s="22">
        <v>45</v>
      </c>
      <c r="AA858" s="22">
        <v>23.895</v>
      </c>
      <c r="AB858" s="23">
        <v>154.77152</v>
      </c>
      <c r="AC858" s="4">
        <v>63.86702</v>
      </c>
      <c r="AD858" s="22"/>
      <c r="AE858" s="22"/>
      <c r="AF858" s="22"/>
      <c r="AG858" s="22"/>
      <c r="AH858" s="20">
        <v>36.95453</v>
      </c>
      <c r="AI858" s="4"/>
      <c r="AJ858" s="22">
        <v>36.95453</v>
      </c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4"/>
      <c r="BA858" s="4"/>
      <c r="BB858" s="4"/>
      <c r="BC858" s="22"/>
      <c r="BD858" s="22">
        <v>94.29245</v>
      </c>
      <c r="BE858" s="22"/>
      <c r="BF858" s="22">
        <v>198.31286</v>
      </c>
      <c r="BG858" s="22">
        <v>123.97736</v>
      </c>
      <c r="BH858" s="22"/>
      <c r="BI858" s="22"/>
      <c r="BJ858" s="22"/>
      <c r="BK858" s="22"/>
      <c r="BL858" s="22"/>
      <c r="BM858" s="22"/>
      <c r="BN858" s="22"/>
      <c r="BO858" s="4"/>
      <c r="BP858" s="4"/>
      <c r="BQ858" s="4"/>
      <c r="BR858" s="4"/>
      <c r="BS858" s="4"/>
      <c r="BT858" s="22"/>
      <c r="BU858" s="24"/>
    </row>
    <row r="859" spans="1:73" ht="73.5" customHeight="1" outlineLevel="2">
      <c r="A859" s="46" t="s">
        <v>4</v>
      </c>
      <c r="B859" s="45" t="s">
        <v>330</v>
      </c>
      <c r="C859" s="39">
        <f t="shared" si="145"/>
        <v>1442.8402499999997</v>
      </c>
      <c r="D859" s="1">
        <f t="shared" si="143"/>
        <v>866.2069499999999</v>
      </c>
      <c r="E859" s="1">
        <f t="shared" si="144"/>
        <v>576.6333</v>
      </c>
      <c r="F859" s="22"/>
      <c r="G859" s="22"/>
      <c r="H859" s="22"/>
      <c r="I859" s="22"/>
      <c r="J859" s="22">
        <v>447.16852</v>
      </c>
      <c r="K859" s="22">
        <v>171.24746</v>
      </c>
      <c r="L859" s="22"/>
      <c r="M859" s="22"/>
      <c r="N859" s="4"/>
      <c r="O859" s="4"/>
      <c r="P859" s="4"/>
      <c r="Q859" s="4"/>
      <c r="R859" s="4">
        <v>88.18298</v>
      </c>
      <c r="S859" s="4">
        <v>89.73206</v>
      </c>
      <c r="T859" s="4"/>
      <c r="U859" s="4"/>
      <c r="V859" s="4"/>
      <c r="W859" s="4"/>
      <c r="X859" s="4"/>
      <c r="Y859" s="4"/>
      <c r="Z859" s="22"/>
      <c r="AA859" s="22"/>
      <c r="AB859" s="4">
        <v>109.4169</v>
      </c>
      <c r="AC859" s="4">
        <v>43.35499</v>
      </c>
      <c r="AD859" s="22"/>
      <c r="AE859" s="22"/>
      <c r="AF859" s="22"/>
      <c r="AG859" s="22"/>
      <c r="AH859" s="20"/>
      <c r="AI859" s="4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4"/>
      <c r="BA859" s="4"/>
      <c r="BB859" s="4"/>
      <c r="BC859" s="22"/>
      <c r="BD859" s="22">
        <v>133.82945</v>
      </c>
      <c r="BE859" s="22"/>
      <c r="BF859" s="22">
        <v>221.43855</v>
      </c>
      <c r="BG859" s="22">
        <v>138.46934</v>
      </c>
      <c r="BH859" s="22"/>
      <c r="BI859" s="22"/>
      <c r="BJ859" s="22"/>
      <c r="BK859" s="22"/>
      <c r="BL859" s="22"/>
      <c r="BM859" s="22"/>
      <c r="BN859" s="22"/>
      <c r="BO859" s="4"/>
      <c r="BP859" s="4"/>
      <c r="BQ859" s="4"/>
      <c r="BR859" s="4"/>
      <c r="BS859" s="4"/>
      <c r="BT859" s="22"/>
      <c r="BU859" s="24"/>
    </row>
    <row r="860" spans="1:73" ht="73.5" customHeight="1" outlineLevel="2">
      <c r="A860" s="44" t="s">
        <v>4</v>
      </c>
      <c r="B860" s="26" t="s">
        <v>314</v>
      </c>
      <c r="C860" s="39">
        <f t="shared" si="145"/>
        <v>2257.6385099999998</v>
      </c>
      <c r="D860" s="1">
        <f t="shared" si="143"/>
        <v>890.1269199999999</v>
      </c>
      <c r="E860" s="1">
        <f t="shared" si="144"/>
        <v>1367.51159</v>
      </c>
      <c r="F860" s="22"/>
      <c r="G860" s="22"/>
      <c r="H860" s="22"/>
      <c r="I860" s="22"/>
      <c r="J860" s="22">
        <v>25.55717</v>
      </c>
      <c r="K860" s="22">
        <v>8.58896</v>
      </c>
      <c r="L860" s="22">
        <v>117.35289</v>
      </c>
      <c r="M860" s="22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22">
        <v>12.16305</v>
      </c>
      <c r="AA860" s="22">
        <v>16.7265</v>
      </c>
      <c r="AB860" s="23">
        <v>317.88714</v>
      </c>
      <c r="AC860" s="4">
        <v>110.95147</v>
      </c>
      <c r="AD860" s="22"/>
      <c r="AE860" s="22"/>
      <c r="AF860" s="22"/>
      <c r="AG860" s="22"/>
      <c r="AH860" s="20">
        <f>88.33034+93.6999</f>
        <v>182.03024</v>
      </c>
      <c r="AI860" s="4">
        <v>93.6999</v>
      </c>
      <c r="AJ860" s="22">
        <v>88.33034</v>
      </c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4"/>
      <c r="BA860" s="4"/>
      <c r="BB860" s="4"/>
      <c r="BC860" s="22"/>
      <c r="BD860" s="22">
        <v>598.1199</v>
      </c>
      <c r="BE860" s="22"/>
      <c r="BF860" s="22">
        <v>534.51956</v>
      </c>
      <c r="BG860" s="22">
        <v>333.74163</v>
      </c>
      <c r="BH860" s="22"/>
      <c r="BI860" s="22"/>
      <c r="BJ860" s="22"/>
      <c r="BK860" s="22"/>
      <c r="BL860" s="22"/>
      <c r="BM860" s="22"/>
      <c r="BN860" s="22"/>
      <c r="BO860" s="4"/>
      <c r="BP860" s="4"/>
      <c r="BQ860" s="4"/>
      <c r="BR860" s="4"/>
      <c r="BS860" s="4"/>
      <c r="BT860" s="22"/>
      <c r="BU860" s="24"/>
    </row>
    <row r="861" spans="1:73" ht="73.5" customHeight="1" outlineLevel="2">
      <c r="A861" s="26" t="s">
        <v>4</v>
      </c>
      <c r="B861" s="27" t="s">
        <v>343</v>
      </c>
      <c r="C861" s="39">
        <f t="shared" si="145"/>
        <v>506.4365</v>
      </c>
      <c r="D861" s="1">
        <f t="shared" si="143"/>
        <v>299.77191</v>
      </c>
      <c r="E861" s="1">
        <f t="shared" si="144"/>
        <v>206.66459</v>
      </c>
      <c r="F861" s="22"/>
      <c r="G861" s="22"/>
      <c r="H861" s="22"/>
      <c r="I861" s="22"/>
      <c r="J861" s="22"/>
      <c r="K861" s="22"/>
      <c r="L861" s="22"/>
      <c r="M861" s="22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22"/>
      <c r="AA861" s="22"/>
      <c r="AB861" s="23">
        <v>77.6457</v>
      </c>
      <c r="AC861" s="4">
        <v>27.97096</v>
      </c>
      <c r="AD861" s="22"/>
      <c r="AE861" s="22"/>
      <c r="AF861" s="22"/>
      <c r="AG861" s="22"/>
      <c r="AH861" s="20">
        <f>17.12527+22.4848</f>
        <v>39.61007</v>
      </c>
      <c r="AI861" s="4">
        <v>22.4848</v>
      </c>
      <c r="AJ861" s="22">
        <v>17.12527</v>
      </c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4"/>
      <c r="BA861" s="4"/>
      <c r="BB861" s="4"/>
      <c r="BC861" s="22"/>
      <c r="BD861" s="22"/>
      <c r="BE861" s="22"/>
      <c r="BF861" s="22">
        <v>222.12621</v>
      </c>
      <c r="BG861" s="22">
        <v>139.08356</v>
      </c>
      <c r="BH861" s="22"/>
      <c r="BI861" s="22"/>
      <c r="BJ861" s="22"/>
      <c r="BK861" s="22"/>
      <c r="BL861" s="22"/>
      <c r="BM861" s="22"/>
      <c r="BN861" s="22"/>
      <c r="BO861" s="4"/>
      <c r="BP861" s="4"/>
      <c r="BQ861" s="4"/>
      <c r="BR861" s="4"/>
      <c r="BS861" s="4"/>
      <c r="BT861" s="22"/>
      <c r="BU861" s="24"/>
    </row>
    <row r="862" spans="1:73" ht="73.5" customHeight="1" outlineLevel="2">
      <c r="A862" s="26" t="s">
        <v>4</v>
      </c>
      <c r="B862" s="27" t="s">
        <v>28</v>
      </c>
      <c r="C862" s="39">
        <f t="shared" si="145"/>
        <v>551.88966</v>
      </c>
      <c r="D862" s="1">
        <f t="shared" si="143"/>
        <v>288.2346</v>
      </c>
      <c r="E862" s="1">
        <f t="shared" si="144"/>
        <v>263.65506</v>
      </c>
      <c r="F862" s="22"/>
      <c r="G862" s="22"/>
      <c r="H862" s="22"/>
      <c r="I862" s="22"/>
      <c r="J862" s="22"/>
      <c r="K862" s="22"/>
      <c r="L862" s="22">
        <f>80.22766+2.23907</f>
        <v>82.46673</v>
      </c>
      <c r="M862" s="22"/>
      <c r="N862" s="4"/>
      <c r="O862" s="4"/>
      <c r="P862" s="4"/>
      <c r="Q862" s="4"/>
      <c r="R862" s="4">
        <v>13.90597</v>
      </c>
      <c r="S862" s="4">
        <v>15.52964</v>
      </c>
      <c r="T862" s="4"/>
      <c r="U862" s="4"/>
      <c r="V862" s="4"/>
      <c r="W862" s="4"/>
      <c r="X862" s="4"/>
      <c r="Y862" s="4"/>
      <c r="Z862" s="22">
        <v>15.63821</v>
      </c>
      <c r="AA862" s="22">
        <v>15.3495</v>
      </c>
      <c r="AB862" s="23">
        <v>110.53865</v>
      </c>
      <c r="AC862" s="4">
        <v>35.89606</v>
      </c>
      <c r="AD862" s="22"/>
      <c r="AE862" s="22"/>
      <c r="AF862" s="22"/>
      <c r="AG862" s="22"/>
      <c r="AH862" s="20">
        <v>21.63192</v>
      </c>
      <c r="AI862" s="4"/>
      <c r="AJ862" s="22">
        <v>21.63192</v>
      </c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4"/>
      <c r="BA862" s="4"/>
      <c r="BB862" s="4"/>
      <c r="BC862" s="22"/>
      <c r="BD862" s="22"/>
      <c r="BE862" s="22"/>
      <c r="BF862" s="22">
        <v>148.15177</v>
      </c>
      <c r="BG862" s="22">
        <v>92.78121</v>
      </c>
      <c r="BH862" s="22"/>
      <c r="BI862" s="22"/>
      <c r="BJ862" s="22"/>
      <c r="BK862" s="22"/>
      <c r="BL862" s="22"/>
      <c r="BM862" s="22"/>
      <c r="BN862" s="22"/>
      <c r="BO862" s="4"/>
      <c r="BP862" s="4"/>
      <c r="BQ862" s="4"/>
      <c r="BR862" s="4"/>
      <c r="BS862" s="4"/>
      <c r="BT862" s="22"/>
      <c r="BU862" s="24"/>
    </row>
    <row r="863" spans="1:73" ht="73.5" customHeight="1" outlineLevel="2">
      <c r="A863" s="44" t="s">
        <v>4</v>
      </c>
      <c r="B863" s="26" t="s">
        <v>95</v>
      </c>
      <c r="C863" s="39">
        <f t="shared" si="145"/>
        <v>3660.6025299999997</v>
      </c>
      <c r="D863" s="1">
        <f t="shared" si="143"/>
        <v>2104.7859</v>
      </c>
      <c r="E863" s="1">
        <f t="shared" si="144"/>
        <v>1555.8166299999998</v>
      </c>
      <c r="F863" s="22"/>
      <c r="G863" s="22"/>
      <c r="H863" s="22"/>
      <c r="I863" s="22"/>
      <c r="J863" s="22">
        <v>539.61036</v>
      </c>
      <c r="K863" s="22">
        <v>206.82967</v>
      </c>
      <c r="L863" s="22"/>
      <c r="M863" s="22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22">
        <v>347.51577</v>
      </c>
      <c r="AA863" s="22">
        <v>477.6165</v>
      </c>
      <c r="AB863" s="23">
        <v>833.32292</v>
      </c>
      <c r="AC863" s="4">
        <v>302.31944</v>
      </c>
      <c r="AD863" s="22"/>
      <c r="AE863" s="22"/>
      <c r="AF863" s="22"/>
      <c r="AG863" s="22"/>
      <c r="AH863" s="20">
        <f>73.90906+77.2084</f>
        <v>151.11746</v>
      </c>
      <c r="AI863" s="4">
        <v>77.2084</v>
      </c>
      <c r="AJ863" s="22">
        <v>73.90906</v>
      </c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4"/>
      <c r="BA863" s="4"/>
      <c r="BB863" s="4"/>
      <c r="BC863" s="22"/>
      <c r="BD863" s="22"/>
      <c r="BE863" s="22"/>
      <c r="BF863" s="22">
        <v>384.33685</v>
      </c>
      <c r="BG863" s="22">
        <v>240.0708</v>
      </c>
      <c r="BH863" s="22"/>
      <c r="BI863" s="22"/>
      <c r="BJ863" s="22">
        <v>177.86276</v>
      </c>
      <c r="BK863" s="22"/>
      <c r="BL863" s="22"/>
      <c r="BM863" s="22"/>
      <c r="BN863" s="22"/>
      <c r="BO863" s="4"/>
      <c r="BP863" s="4"/>
      <c r="BQ863" s="4"/>
      <c r="BR863" s="4"/>
      <c r="BS863" s="4"/>
      <c r="BT863" s="22"/>
      <c r="BU863" s="24"/>
    </row>
    <row r="864" spans="1:73" ht="73.5" customHeight="1" outlineLevel="2">
      <c r="A864" s="44" t="s">
        <v>4</v>
      </c>
      <c r="B864" s="26" t="s">
        <v>96</v>
      </c>
      <c r="C864" s="39">
        <f t="shared" si="145"/>
        <v>6619.47905</v>
      </c>
      <c r="D864" s="1">
        <f t="shared" si="143"/>
        <v>3085.3989199999996</v>
      </c>
      <c r="E864" s="1">
        <f t="shared" si="144"/>
        <v>3534.0801300000003</v>
      </c>
      <c r="F864" s="22"/>
      <c r="G864" s="22"/>
      <c r="H864" s="22"/>
      <c r="I864" s="22"/>
      <c r="J864" s="22"/>
      <c r="K864" s="22"/>
      <c r="L864" s="22"/>
      <c r="M864" s="22"/>
      <c r="N864" s="4"/>
      <c r="O864" s="4"/>
      <c r="P864" s="4"/>
      <c r="Q864" s="4"/>
      <c r="R864" s="4">
        <v>301.23557</v>
      </c>
      <c r="S864" s="4">
        <v>393.31304</v>
      </c>
      <c r="T864" s="4"/>
      <c r="U864" s="4"/>
      <c r="V864" s="4"/>
      <c r="W864" s="4"/>
      <c r="X864" s="4"/>
      <c r="Y864" s="4"/>
      <c r="Z864" s="22">
        <v>69.50316</v>
      </c>
      <c r="AA864" s="22">
        <v>75.6945</v>
      </c>
      <c r="AB864" s="23">
        <v>1132.58631</v>
      </c>
      <c r="AC864" s="4">
        <v>362.457</v>
      </c>
      <c r="AD864" s="22"/>
      <c r="AE864" s="22"/>
      <c r="AF864" s="22"/>
      <c r="AG864" s="22"/>
      <c r="AH864" s="20">
        <f>105.975+213.61521+21.63192+231.6252</f>
        <v>572.8473299999999</v>
      </c>
      <c r="AI864" s="4">
        <v>231.6252</v>
      </c>
      <c r="AJ864" s="22">
        <v>341.22213</v>
      </c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>
        <v>256.10143</v>
      </c>
      <c r="AZ864" s="4">
        <v>259.70396</v>
      </c>
      <c r="BA864" s="4"/>
      <c r="BB864" s="4"/>
      <c r="BC864" s="22"/>
      <c r="BD864" s="22">
        <v>1040.83417</v>
      </c>
      <c r="BE864" s="22"/>
      <c r="BF864" s="22">
        <v>1325.97245</v>
      </c>
      <c r="BG864" s="22">
        <v>829.23013</v>
      </c>
      <c r="BH864" s="22"/>
      <c r="BI864" s="22"/>
      <c r="BJ864" s="22"/>
      <c r="BK864" s="22"/>
      <c r="BL864" s="22"/>
      <c r="BM864" s="22"/>
      <c r="BN864" s="22"/>
      <c r="BO864" s="4"/>
      <c r="BP864" s="4"/>
      <c r="BQ864" s="4"/>
      <c r="BR864" s="4"/>
      <c r="BS864" s="4"/>
      <c r="BT864" s="22"/>
      <c r="BU864" s="24"/>
    </row>
    <row r="865" spans="1:73" ht="73.5" customHeight="1" outlineLevel="2">
      <c r="A865" s="44" t="s">
        <v>4</v>
      </c>
      <c r="B865" s="26" t="s">
        <v>143</v>
      </c>
      <c r="C865" s="39">
        <f t="shared" si="145"/>
        <v>6589.606170000001</v>
      </c>
      <c r="D865" s="1">
        <f t="shared" si="143"/>
        <v>2536.9864500000003</v>
      </c>
      <c r="E865" s="1">
        <f t="shared" si="144"/>
        <v>4052.61972</v>
      </c>
      <c r="F865" s="22"/>
      <c r="G865" s="22"/>
      <c r="H865" s="22"/>
      <c r="I865" s="22"/>
      <c r="J865" s="22">
        <v>529.13953</v>
      </c>
      <c r="K865" s="22">
        <v>190.23623</v>
      </c>
      <c r="L865" s="22"/>
      <c r="M865" s="22"/>
      <c r="N865" s="4"/>
      <c r="O865" s="4"/>
      <c r="P865" s="4"/>
      <c r="Q865" s="4"/>
      <c r="R865" s="4">
        <v>26.46152</v>
      </c>
      <c r="S865" s="4">
        <v>21.4159</v>
      </c>
      <c r="T865" s="4"/>
      <c r="U865" s="4"/>
      <c r="V865" s="4"/>
      <c r="W865" s="4"/>
      <c r="X865" s="4"/>
      <c r="Y865" s="4"/>
      <c r="Z865" s="22"/>
      <c r="AA865" s="22">
        <v>35.8425</v>
      </c>
      <c r="AB865" s="23">
        <v>448.54283</v>
      </c>
      <c r="AC865" s="4">
        <v>150.57699</v>
      </c>
      <c r="AD865" s="22"/>
      <c r="AE865" s="22"/>
      <c r="AF865" s="22"/>
      <c r="AG865" s="22"/>
      <c r="AH865" s="20">
        <f>91.5363+82.8296</f>
        <v>174.3659</v>
      </c>
      <c r="AI865" s="4">
        <v>82.8296</v>
      </c>
      <c r="AJ865" s="22">
        <v>91.5363</v>
      </c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>
        <v>931.76919</v>
      </c>
      <c r="AZ865" s="4">
        <v>1135.18219</v>
      </c>
      <c r="BA865" s="4"/>
      <c r="BB865" s="4"/>
      <c r="BC865" s="22"/>
      <c r="BD865" s="22"/>
      <c r="BE865" s="22">
        <v>1969.68919</v>
      </c>
      <c r="BF865" s="22">
        <v>601.07338</v>
      </c>
      <c r="BG865" s="22">
        <v>375.31082</v>
      </c>
      <c r="BH865" s="22"/>
      <c r="BI865" s="22"/>
      <c r="BJ865" s="22"/>
      <c r="BK865" s="22"/>
      <c r="BL865" s="22"/>
      <c r="BM865" s="22"/>
      <c r="BN865" s="22"/>
      <c r="BO865" s="4"/>
      <c r="BP865" s="4"/>
      <c r="BQ865" s="4"/>
      <c r="BR865" s="4"/>
      <c r="BS865" s="4"/>
      <c r="BT865" s="22"/>
      <c r="BU865" s="24"/>
    </row>
    <row r="866" spans="1:73" ht="73.5" customHeight="1" outlineLevel="2">
      <c r="A866" s="46" t="s">
        <v>4</v>
      </c>
      <c r="B866" s="45" t="s">
        <v>255</v>
      </c>
      <c r="C866" s="39">
        <f t="shared" si="145"/>
        <v>774.2828</v>
      </c>
      <c r="D866" s="1">
        <f t="shared" si="143"/>
        <v>431.27119000000005</v>
      </c>
      <c r="E866" s="1">
        <f t="shared" si="144"/>
        <v>343.01160999999996</v>
      </c>
      <c r="F866" s="22"/>
      <c r="G866" s="22"/>
      <c r="H866" s="22"/>
      <c r="I866" s="22"/>
      <c r="J866" s="22">
        <v>77.76544</v>
      </c>
      <c r="K866" s="22">
        <v>13.75479</v>
      </c>
      <c r="L866" s="22"/>
      <c r="M866" s="22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22"/>
      <c r="AA866" s="22">
        <v>23.895</v>
      </c>
      <c r="AB866" s="23">
        <v>177.858</v>
      </c>
      <c r="AC866" s="4">
        <v>57.57356</v>
      </c>
      <c r="AD866" s="22"/>
      <c r="AE866" s="22"/>
      <c r="AF866" s="22"/>
      <c r="AG866" s="22"/>
      <c r="AH866" s="20"/>
      <c r="AI866" s="4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4"/>
      <c r="BA866" s="4"/>
      <c r="BB866" s="4"/>
      <c r="BC866" s="22"/>
      <c r="BD866" s="22"/>
      <c r="BE866" s="22">
        <v>137.95</v>
      </c>
      <c r="BF866" s="22">
        <v>175.64775</v>
      </c>
      <c r="BG866" s="22">
        <v>109.83826</v>
      </c>
      <c r="BH866" s="22"/>
      <c r="BI866" s="22"/>
      <c r="BJ866" s="22"/>
      <c r="BK866" s="22"/>
      <c r="BL866" s="22"/>
      <c r="BM866" s="22"/>
      <c r="BN866" s="22"/>
      <c r="BO866" s="4"/>
      <c r="BP866" s="4"/>
      <c r="BQ866" s="4"/>
      <c r="BR866" s="4"/>
      <c r="BS866" s="4"/>
      <c r="BT866" s="22"/>
      <c r="BU866" s="24"/>
    </row>
    <row r="867" spans="1:73" ht="73.5" customHeight="1" outlineLevel="2">
      <c r="A867" s="46" t="s">
        <v>4</v>
      </c>
      <c r="B867" s="45" t="s">
        <v>458</v>
      </c>
      <c r="C867" s="39">
        <f t="shared" si="145"/>
        <v>700.88058</v>
      </c>
      <c r="D867" s="1">
        <f t="shared" si="143"/>
        <v>375.85262</v>
      </c>
      <c r="E867" s="1">
        <f t="shared" si="144"/>
        <v>325.02796</v>
      </c>
      <c r="F867" s="22"/>
      <c r="G867" s="22"/>
      <c r="H867" s="22"/>
      <c r="I867" s="22"/>
      <c r="J867" s="22"/>
      <c r="K867" s="22"/>
      <c r="L867" s="22"/>
      <c r="M867" s="22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22"/>
      <c r="AA867" s="22"/>
      <c r="AB867" s="23">
        <v>106.52735</v>
      </c>
      <c r="AC867" s="4">
        <v>43.58808</v>
      </c>
      <c r="AD867" s="22"/>
      <c r="AE867" s="22"/>
      <c r="AF867" s="22"/>
      <c r="AG867" s="22"/>
      <c r="AH867" s="20">
        <f>52.27714+60.7169</f>
        <v>112.99404000000001</v>
      </c>
      <c r="AI867" s="4">
        <v>60.7169</v>
      </c>
      <c r="AJ867" s="22">
        <v>52.27714</v>
      </c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4"/>
      <c r="BA867" s="4"/>
      <c r="BB867" s="4"/>
      <c r="BC867" s="22"/>
      <c r="BD867" s="22"/>
      <c r="BE867" s="22"/>
      <c r="BF867" s="22">
        <v>269.32527</v>
      </c>
      <c r="BG867" s="22">
        <v>168.44584</v>
      </c>
      <c r="BH867" s="22"/>
      <c r="BI867" s="22"/>
      <c r="BJ867" s="22"/>
      <c r="BK867" s="22"/>
      <c r="BL867" s="22"/>
      <c r="BM867" s="22"/>
      <c r="BN867" s="22"/>
      <c r="BO867" s="4"/>
      <c r="BP867" s="4"/>
      <c r="BQ867" s="4"/>
      <c r="BR867" s="4"/>
      <c r="BS867" s="4"/>
      <c r="BT867" s="22"/>
      <c r="BU867" s="24"/>
    </row>
    <row r="868" spans="1:73" ht="73.5" customHeight="1" outlineLevel="2">
      <c r="A868" s="46" t="s">
        <v>4</v>
      </c>
      <c r="B868" s="45" t="s">
        <v>1047</v>
      </c>
      <c r="C868" s="39">
        <f t="shared" si="145"/>
        <v>1054.05412</v>
      </c>
      <c r="D868" s="1">
        <f t="shared" si="143"/>
        <v>746.11012</v>
      </c>
      <c r="E868" s="1">
        <f t="shared" si="144"/>
        <v>307.944</v>
      </c>
      <c r="F868" s="22"/>
      <c r="G868" s="22"/>
      <c r="H868" s="22"/>
      <c r="I868" s="22"/>
      <c r="J868" s="22"/>
      <c r="K868" s="22"/>
      <c r="L868" s="22"/>
      <c r="M868" s="22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22"/>
      <c r="AA868" s="22"/>
      <c r="AB868" s="23"/>
      <c r="AC868" s="4"/>
      <c r="AD868" s="22"/>
      <c r="AE868" s="22"/>
      <c r="AF868" s="22"/>
      <c r="AG868" s="22"/>
      <c r="AH868" s="20"/>
      <c r="AI868" s="4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>
        <v>746.11012</v>
      </c>
      <c r="AZ868" s="4">
        <v>307.944</v>
      </c>
      <c r="BA868" s="4"/>
      <c r="BB868" s="4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4"/>
      <c r="BP868" s="4"/>
      <c r="BQ868" s="4"/>
      <c r="BR868" s="4"/>
      <c r="BS868" s="4"/>
      <c r="BT868" s="22"/>
      <c r="BU868" s="24"/>
    </row>
    <row r="869" spans="1:73" ht="73.5" customHeight="1" outlineLevel="2">
      <c r="A869" s="46" t="s">
        <v>4</v>
      </c>
      <c r="B869" s="45" t="s">
        <v>573</v>
      </c>
      <c r="C869" s="39">
        <f t="shared" si="145"/>
        <v>409.93635</v>
      </c>
      <c r="D869" s="1">
        <f t="shared" si="143"/>
        <v>258.40044</v>
      </c>
      <c r="E869" s="1">
        <f t="shared" si="144"/>
        <v>151.53591</v>
      </c>
      <c r="F869" s="22"/>
      <c r="G869" s="22"/>
      <c r="H869" s="22"/>
      <c r="I869" s="22"/>
      <c r="J869" s="22"/>
      <c r="K869" s="22"/>
      <c r="L869" s="22"/>
      <c r="M869" s="22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22">
        <v>54</v>
      </c>
      <c r="AA869" s="22">
        <v>26.2035</v>
      </c>
      <c r="AB869" s="23">
        <v>134.98155</v>
      </c>
      <c r="AC869" s="4">
        <v>43.12189</v>
      </c>
      <c r="AD869" s="22"/>
      <c r="AE869" s="22"/>
      <c r="AF869" s="22"/>
      <c r="AG869" s="22"/>
      <c r="AH869" s="20">
        <f>16.22394+22.4848</f>
        <v>38.70874</v>
      </c>
      <c r="AI869" s="4">
        <v>22.4848</v>
      </c>
      <c r="AJ869" s="22">
        <v>16.22394</v>
      </c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4"/>
      <c r="BA869" s="4"/>
      <c r="BB869" s="4"/>
      <c r="BC869" s="22"/>
      <c r="BD869" s="22"/>
      <c r="BE869" s="22"/>
      <c r="BF869" s="22">
        <v>69.41889</v>
      </c>
      <c r="BG869" s="22">
        <v>43.50178</v>
      </c>
      <c r="BH869" s="22"/>
      <c r="BI869" s="22"/>
      <c r="BJ869" s="22"/>
      <c r="BK869" s="22"/>
      <c r="BL869" s="22"/>
      <c r="BM869" s="22"/>
      <c r="BN869" s="22"/>
      <c r="BO869" s="4"/>
      <c r="BP869" s="4"/>
      <c r="BQ869" s="4"/>
      <c r="BR869" s="4"/>
      <c r="BS869" s="4"/>
      <c r="BT869" s="22"/>
      <c r="BU869" s="24"/>
    </row>
    <row r="870" spans="1:73" ht="73.5" customHeight="1" outlineLevel="2">
      <c r="A870" s="46" t="s">
        <v>4</v>
      </c>
      <c r="B870" s="26" t="s">
        <v>1172</v>
      </c>
      <c r="C870" s="39">
        <f t="shared" si="145"/>
        <v>255.03789</v>
      </c>
      <c r="D870" s="1">
        <f t="shared" si="143"/>
        <v>68.89901</v>
      </c>
      <c r="E870" s="1">
        <f t="shared" si="144"/>
        <v>186.13888</v>
      </c>
      <c r="F870" s="22"/>
      <c r="G870" s="22"/>
      <c r="H870" s="22"/>
      <c r="I870" s="22"/>
      <c r="J870" s="22"/>
      <c r="K870" s="22"/>
      <c r="L870" s="22"/>
      <c r="M870" s="22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22">
        <v>31.27642</v>
      </c>
      <c r="AA870" s="22">
        <v>42.9705</v>
      </c>
      <c r="AB870" s="23"/>
      <c r="AC870" s="4"/>
      <c r="AD870" s="22"/>
      <c r="AE870" s="22"/>
      <c r="AF870" s="22"/>
      <c r="AG870" s="22"/>
      <c r="AH870" s="20">
        <f>2.70399+2.40885</f>
        <v>5.11284</v>
      </c>
      <c r="AI870" s="4"/>
      <c r="AJ870" s="20">
        <f>2.70399+2.40885</f>
        <v>5.11284</v>
      </c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4"/>
      <c r="BA870" s="4"/>
      <c r="BB870" s="4"/>
      <c r="BC870" s="22"/>
      <c r="BD870" s="22"/>
      <c r="BE870" s="22">
        <v>114.45</v>
      </c>
      <c r="BF870" s="22">
        <v>37.62259</v>
      </c>
      <c r="BG870" s="22">
        <v>23.60554</v>
      </c>
      <c r="BH870" s="22"/>
      <c r="BI870" s="22"/>
      <c r="BJ870" s="22"/>
      <c r="BK870" s="22"/>
      <c r="BL870" s="22"/>
      <c r="BM870" s="22"/>
      <c r="BN870" s="22"/>
      <c r="BO870" s="4"/>
      <c r="BP870" s="4"/>
      <c r="BQ870" s="4"/>
      <c r="BR870" s="4"/>
      <c r="BS870" s="4"/>
      <c r="BT870" s="22"/>
      <c r="BU870" s="24"/>
    </row>
    <row r="871" spans="1:73" ht="73.5" customHeight="1" outlineLevel="2">
      <c r="A871" s="26" t="s">
        <v>4</v>
      </c>
      <c r="B871" s="26" t="s">
        <v>1048</v>
      </c>
      <c r="C871" s="39">
        <f t="shared" si="145"/>
        <v>96.1688</v>
      </c>
      <c r="D871" s="1">
        <f t="shared" si="143"/>
        <v>0</v>
      </c>
      <c r="E871" s="1">
        <f t="shared" si="144"/>
        <v>96.1688</v>
      </c>
      <c r="F871" s="22"/>
      <c r="G871" s="22"/>
      <c r="H871" s="22"/>
      <c r="I871" s="22"/>
      <c r="J871" s="22"/>
      <c r="K871" s="22"/>
      <c r="L871" s="22"/>
      <c r="M871" s="22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22"/>
      <c r="AA871" s="22"/>
      <c r="AB871" s="23"/>
      <c r="AC871" s="4"/>
      <c r="AD871" s="22"/>
      <c r="AE871" s="22"/>
      <c r="AF871" s="22"/>
      <c r="AG871" s="22"/>
      <c r="AH871" s="20"/>
      <c r="AI871" s="4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4"/>
      <c r="BA871" s="4"/>
      <c r="BB871" s="4"/>
      <c r="BC871" s="22"/>
      <c r="BD871" s="22"/>
      <c r="BE871" s="22"/>
      <c r="BF871" s="22"/>
      <c r="BG871" s="22"/>
      <c r="BH871" s="22"/>
      <c r="BI871" s="22"/>
      <c r="BJ871" s="22">
        <v>96.1688</v>
      </c>
      <c r="BK871" s="22"/>
      <c r="BL871" s="22"/>
      <c r="BM871" s="22"/>
      <c r="BN871" s="22"/>
      <c r="BO871" s="4"/>
      <c r="BP871" s="4"/>
      <c r="BQ871" s="4"/>
      <c r="BR871" s="4"/>
      <c r="BS871" s="4"/>
      <c r="BT871" s="22"/>
      <c r="BU871" s="24"/>
    </row>
    <row r="872" spans="1:73" ht="73.5" customHeight="1" outlineLevel="2">
      <c r="A872" s="26" t="s">
        <v>4</v>
      </c>
      <c r="B872" s="26" t="s">
        <v>1049</v>
      </c>
      <c r="C872" s="39">
        <f>D872+E872</f>
        <v>882.7894100000001</v>
      </c>
      <c r="D872" s="1">
        <f t="shared" si="143"/>
        <v>56.68658</v>
      </c>
      <c r="E872" s="1">
        <f t="shared" si="144"/>
        <v>826.10283</v>
      </c>
      <c r="F872" s="22"/>
      <c r="G872" s="22"/>
      <c r="H872" s="22"/>
      <c r="I872" s="22"/>
      <c r="J872" s="22"/>
      <c r="K872" s="22"/>
      <c r="L872" s="22"/>
      <c r="M872" s="22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22"/>
      <c r="AA872" s="22"/>
      <c r="AB872" s="23">
        <v>38.64638</v>
      </c>
      <c r="AC872" s="4">
        <v>12.35384</v>
      </c>
      <c r="AD872" s="22"/>
      <c r="AE872" s="22"/>
      <c r="AF872" s="22"/>
      <c r="AG872" s="22"/>
      <c r="AH872" s="20"/>
      <c r="AI872" s="4"/>
      <c r="AJ872" s="22"/>
      <c r="AK872" s="22"/>
      <c r="AL872" s="22">
        <v>285.9125</v>
      </c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4"/>
      <c r="BA872" s="4"/>
      <c r="BB872" s="4"/>
      <c r="BC872" s="22"/>
      <c r="BD872" s="22"/>
      <c r="BE872" s="22">
        <v>111.10169</v>
      </c>
      <c r="BF872" s="22">
        <v>18.0402</v>
      </c>
      <c r="BG872" s="22">
        <v>11.25218</v>
      </c>
      <c r="BH872" s="22"/>
      <c r="BI872" s="22"/>
      <c r="BJ872" s="22">
        <v>405.48262</v>
      </c>
      <c r="BK872" s="22"/>
      <c r="BL872" s="22"/>
      <c r="BM872" s="22"/>
      <c r="BN872" s="22"/>
      <c r="BO872" s="4"/>
      <c r="BP872" s="4"/>
      <c r="BQ872" s="4"/>
      <c r="BR872" s="4"/>
      <c r="BS872" s="4"/>
      <c r="BT872" s="22"/>
      <c r="BU872" s="24"/>
    </row>
    <row r="873" spans="1:73" ht="73.5" customHeight="1" outlineLevel="2">
      <c r="A873" s="26" t="s">
        <v>4</v>
      </c>
      <c r="B873" s="26" t="s">
        <v>1050</v>
      </c>
      <c r="C873" s="39">
        <f>D873+E873</f>
        <v>3000</v>
      </c>
      <c r="D873" s="1">
        <f t="shared" si="143"/>
        <v>1500</v>
      </c>
      <c r="E873" s="1">
        <f t="shared" si="144"/>
        <v>1500</v>
      </c>
      <c r="F873" s="22"/>
      <c r="G873" s="22"/>
      <c r="H873" s="22"/>
      <c r="I873" s="22"/>
      <c r="J873" s="22"/>
      <c r="K873" s="22"/>
      <c r="L873" s="22"/>
      <c r="M873" s="22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22"/>
      <c r="AA873" s="22"/>
      <c r="AB873" s="23"/>
      <c r="AC873" s="4"/>
      <c r="AD873" s="22"/>
      <c r="AE873" s="22"/>
      <c r="AF873" s="22"/>
      <c r="AG873" s="22"/>
      <c r="AH873" s="20"/>
      <c r="AI873" s="4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4"/>
      <c r="BA873" s="4"/>
      <c r="BB873" s="4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4">
        <v>1500</v>
      </c>
      <c r="BP873" s="4">
        <v>1500</v>
      </c>
      <c r="BQ873" s="4"/>
      <c r="BR873" s="4"/>
      <c r="BS873" s="4"/>
      <c r="BT873" s="22"/>
      <c r="BU873" s="24"/>
    </row>
    <row r="874" spans="1:73" ht="73.5" customHeight="1" outlineLevel="2">
      <c r="A874" s="26" t="s">
        <v>4</v>
      </c>
      <c r="B874" s="26" t="s">
        <v>1051</v>
      </c>
      <c r="C874" s="39">
        <f t="shared" si="145"/>
        <v>56.58891</v>
      </c>
      <c r="D874" s="1">
        <f t="shared" si="143"/>
        <v>31.86592</v>
      </c>
      <c r="E874" s="1">
        <f t="shared" si="144"/>
        <v>24.722990000000003</v>
      </c>
      <c r="F874" s="22"/>
      <c r="G874" s="22"/>
      <c r="H874" s="22"/>
      <c r="I874" s="22"/>
      <c r="J874" s="22"/>
      <c r="K874" s="22"/>
      <c r="L874" s="22"/>
      <c r="M874" s="22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22"/>
      <c r="AA874" s="22"/>
      <c r="AB874" s="23"/>
      <c r="AC874" s="4"/>
      <c r="AD874" s="22"/>
      <c r="AE874" s="22"/>
      <c r="AF874" s="22"/>
      <c r="AG874" s="22"/>
      <c r="AH874" s="20">
        <v>4.8177</v>
      </c>
      <c r="AI874" s="4"/>
      <c r="AJ874" s="20">
        <v>4.8177</v>
      </c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4"/>
      <c r="BA874" s="4"/>
      <c r="BB874" s="4"/>
      <c r="BC874" s="22"/>
      <c r="BD874" s="22"/>
      <c r="BE874" s="22"/>
      <c r="BF874" s="22">
        <v>31.86592</v>
      </c>
      <c r="BG874" s="22">
        <v>19.90529</v>
      </c>
      <c r="BH874" s="22"/>
      <c r="BI874" s="22"/>
      <c r="BJ874" s="22"/>
      <c r="BK874" s="22"/>
      <c r="BL874" s="22"/>
      <c r="BM874" s="22"/>
      <c r="BN874" s="22"/>
      <c r="BO874" s="4"/>
      <c r="BP874" s="4"/>
      <c r="BQ874" s="4"/>
      <c r="BR874" s="4"/>
      <c r="BS874" s="4"/>
      <c r="BT874" s="22"/>
      <c r="BU874" s="24"/>
    </row>
    <row r="875" spans="1:73" ht="73.5" customHeight="1" outlineLevel="2">
      <c r="A875" s="44" t="s">
        <v>4</v>
      </c>
      <c r="B875" s="26" t="s">
        <v>1052</v>
      </c>
      <c r="C875" s="39">
        <f t="shared" si="145"/>
        <v>4923.19664</v>
      </c>
      <c r="D875" s="1">
        <f t="shared" si="143"/>
        <v>989.8842099999999</v>
      </c>
      <c r="E875" s="1">
        <f t="shared" si="144"/>
        <v>3933.3124300000004</v>
      </c>
      <c r="F875" s="22"/>
      <c r="G875" s="22"/>
      <c r="H875" s="22"/>
      <c r="I875" s="22"/>
      <c r="J875" s="22"/>
      <c r="K875" s="22"/>
      <c r="L875" s="22">
        <f>219.90871+20.19766</f>
        <v>240.10637000000003</v>
      </c>
      <c r="M875" s="22"/>
      <c r="N875" s="4"/>
      <c r="O875" s="4"/>
      <c r="P875" s="4"/>
      <c r="Q875" s="4"/>
      <c r="R875" s="4">
        <v>38.65499</v>
      </c>
      <c r="S875" s="4">
        <v>43.29109</v>
      </c>
      <c r="T875" s="4"/>
      <c r="U875" s="4"/>
      <c r="V875" s="4"/>
      <c r="W875" s="4"/>
      <c r="X875" s="4"/>
      <c r="Y875" s="4"/>
      <c r="Z875" s="22">
        <v>27.80126</v>
      </c>
      <c r="AA875" s="22">
        <v>43.1325</v>
      </c>
      <c r="AB875" s="23">
        <v>520.90326</v>
      </c>
      <c r="AC875" s="4">
        <v>190.43561</v>
      </c>
      <c r="AD875" s="22"/>
      <c r="AE875" s="22"/>
      <c r="AF875" s="22"/>
      <c r="AG875" s="22"/>
      <c r="AH875" s="20">
        <f>68.50108+77.2084</f>
        <v>145.70947999999999</v>
      </c>
      <c r="AI875" s="4">
        <v>77.2084</v>
      </c>
      <c r="AJ875" s="22">
        <v>68.50108</v>
      </c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4"/>
      <c r="BA875" s="4"/>
      <c r="BB875" s="4"/>
      <c r="BC875" s="22"/>
      <c r="BD875" s="22"/>
      <c r="BE875" s="22">
        <v>3019.22308</v>
      </c>
      <c r="BF875" s="22">
        <v>402.5247</v>
      </c>
      <c r="BG875" s="22">
        <v>251.4143</v>
      </c>
      <c r="BH875" s="22"/>
      <c r="BI875" s="22"/>
      <c r="BJ875" s="22"/>
      <c r="BK875" s="22"/>
      <c r="BL875" s="22"/>
      <c r="BM875" s="22"/>
      <c r="BN875" s="22"/>
      <c r="BO875" s="4"/>
      <c r="BP875" s="4"/>
      <c r="BQ875" s="4"/>
      <c r="BR875" s="4"/>
      <c r="BS875" s="4"/>
      <c r="BT875" s="22"/>
      <c r="BU875" s="24"/>
    </row>
    <row r="876" spans="1:73" ht="73.5" customHeight="1" outlineLevel="2">
      <c r="A876" s="26" t="s">
        <v>4</v>
      </c>
      <c r="B876" s="26" t="s">
        <v>514</v>
      </c>
      <c r="C876" s="39">
        <f t="shared" si="145"/>
        <v>122.57239999999999</v>
      </c>
      <c r="D876" s="1">
        <f t="shared" si="143"/>
        <v>85.75786</v>
      </c>
      <c r="E876" s="1">
        <f t="shared" si="144"/>
        <v>36.81454</v>
      </c>
      <c r="F876" s="22"/>
      <c r="G876" s="22"/>
      <c r="H876" s="22"/>
      <c r="I876" s="22"/>
      <c r="J876" s="22"/>
      <c r="K876" s="22"/>
      <c r="L876" s="22"/>
      <c r="M876" s="22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22"/>
      <c r="AA876" s="22"/>
      <c r="AB876" s="23">
        <v>59.0269</v>
      </c>
      <c r="AC876" s="4">
        <v>14.68475</v>
      </c>
      <c r="AD876" s="22"/>
      <c r="AE876" s="22"/>
      <c r="AF876" s="22"/>
      <c r="AG876" s="22"/>
      <c r="AH876" s="20">
        <v>5.40798</v>
      </c>
      <c r="AI876" s="4"/>
      <c r="AJ876" s="20">
        <v>5.40798</v>
      </c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4"/>
      <c r="BA876" s="4"/>
      <c r="BB876" s="4"/>
      <c r="BC876" s="22"/>
      <c r="BD876" s="22"/>
      <c r="BE876" s="22"/>
      <c r="BF876" s="22">
        <v>26.73096</v>
      </c>
      <c r="BG876" s="22">
        <v>16.72181</v>
      </c>
      <c r="BH876" s="22"/>
      <c r="BI876" s="22"/>
      <c r="BJ876" s="22"/>
      <c r="BK876" s="22"/>
      <c r="BL876" s="22"/>
      <c r="BM876" s="22"/>
      <c r="BN876" s="22"/>
      <c r="BO876" s="4"/>
      <c r="BP876" s="4"/>
      <c r="BQ876" s="4"/>
      <c r="BR876" s="4"/>
      <c r="BS876" s="4"/>
      <c r="BT876" s="22"/>
      <c r="BU876" s="24"/>
    </row>
    <row r="877" spans="1:73" ht="73.5" customHeight="1" outlineLevel="2">
      <c r="A877" s="26" t="s">
        <v>4</v>
      </c>
      <c r="B877" s="26" t="s">
        <v>585</v>
      </c>
      <c r="C877" s="39">
        <f t="shared" si="145"/>
        <v>83.58224</v>
      </c>
      <c r="D877" s="1">
        <f t="shared" si="143"/>
        <v>58.4585</v>
      </c>
      <c r="E877" s="1">
        <f t="shared" si="144"/>
        <v>25.123739999999998</v>
      </c>
      <c r="F877" s="22"/>
      <c r="G877" s="22"/>
      <c r="H877" s="22"/>
      <c r="I877" s="22"/>
      <c r="J877" s="22"/>
      <c r="K877" s="22"/>
      <c r="L877" s="22"/>
      <c r="M877" s="22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22">
        <v>1.73758</v>
      </c>
      <c r="AA877" s="22">
        <v>2.3895</v>
      </c>
      <c r="AB877" s="23">
        <v>39.00547</v>
      </c>
      <c r="AC877" s="4">
        <v>11.65457</v>
      </c>
      <c r="AD877" s="22"/>
      <c r="AE877" s="22"/>
      <c r="AF877" s="22"/>
      <c r="AG877" s="22"/>
      <c r="AH877" s="20"/>
      <c r="AI877" s="4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4"/>
      <c r="BA877" s="4"/>
      <c r="BB877" s="4"/>
      <c r="BC877" s="22"/>
      <c r="BD877" s="22"/>
      <c r="BE877" s="22"/>
      <c r="BF877" s="22">
        <v>17.71545</v>
      </c>
      <c r="BG877" s="22">
        <v>11.07967</v>
      </c>
      <c r="BH877" s="22"/>
      <c r="BI877" s="22"/>
      <c r="BJ877" s="22"/>
      <c r="BK877" s="22"/>
      <c r="BL877" s="22"/>
      <c r="BM877" s="22"/>
      <c r="BN877" s="22"/>
      <c r="BO877" s="4"/>
      <c r="BP877" s="4"/>
      <c r="BQ877" s="4"/>
      <c r="BR877" s="4"/>
      <c r="BS877" s="4"/>
      <c r="BT877" s="22"/>
      <c r="BU877" s="24"/>
    </row>
    <row r="878" spans="1:73" ht="73.5" customHeight="1" outlineLevel="2">
      <c r="A878" s="26" t="s">
        <v>4</v>
      </c>
      <c r="B878" s="26" t="s">
        <v>840</v>
      </c>
      <c r="C878" s="39">
        <f>D878+E878</f>
        <v>2880</v>
      </c>
      <c r="D878" s="1">
        <f t="shared" si="143"/>
        <v>0</v>
      </c>
      <c r="E878" s="1">
        <f t="shared" si="144"/>
        <v>2880</v>
      </c>
      <c r="F878" s="22"/>
      <c r="G878" s="22"/>
      <c r="H878" s="22"/>
      <c r="I878" s="22"/>
      <c r="J878" s="22"/>
      <c r="K878" s="22"/>
      <c r="L878" s="22"/>
      <c r="M878" s="22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22"/>
      <c r="AA878" s="22"/>
      <c r="AB878" s="23"/>
      <c r="AC878" s="4"/>
      <c r="AD878" s="22"/>
      <c r="AE878" s="22"/>
      <c r="AF878" s="22"/>
      <c r="AG878" s="22"/>
      <c r="AH878" s="20"/>
      <c r="AI878" s="4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4"/>
      <c r="BA878" s="4"/>
      <c r="BB878" s="4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4"/>
      <c r="BP878" s="4">
        <v>2880</v>
      </c>
      <c r="BQ878" s="4"/>
      <c r="BR878" s="4"/>
      <c r="BS878" s="4"/>
      <c r="BT878" s="22"/>
      <c r="BU878" s="24"/>
    </row>
    <row r="879" spans="1:73" ht="73.5" customHeight="1" outlineLevel="2">
      <c r="A879" s="26" t="s">
        <v>4</v>
      </c>
      <c r="B879" s="26" t="s">
        <v>29</v>
      </c>
      <c r="C879" s="39">
        <f t="shared" si="145"/>
        <v>656.12338</v>
      </c>
      <c r="D879" s="1">
        <f t="shared" si="143"/>
        <v>395.59872</v>
      </c>
      <c r="E879" s="1">
        <f t="shared" si="144"/>
        <v>260.52466000000004</v>
      </c>
      <c r="F879" s="22"/>
      <c r="G879" s="22"/>
      <c r="H879" s="22"/>
      <c r="I879" s="22"/>
      <c r="J879" s="22"/>
      <c r="K879" s="22"/>
      <c r="L879" s="22"/>
      <c r="M879" s="22"/>
      <c r="N879" s="4"/>
      <c r="O879" s="4"/>
      <c r="P879" s="4"/>
      <c r="Q879" s="4"/>
      <c r="R879" s="4">
        <v>11.8259</v>
      </c>
      <c r="S879" s="4">
        <v>9.77884</v>
      </c>
      <c r="T879" s="4"/>
      <c r="U879" s="4"/>
      <c r="V879" s="4"/>
      <c r="W879" s="4"/>
      <c r="X879" s="4"/>
      <c r="Y879" s="4"/>
      <c r="Z879" s="22">
        <v>148.5</v>
      </c>
      <c r="AA879" s="22">
        <v>82.4985</v>
      </c>
      <c r="AB879" s="23">
        <v>115.10448</v>
      </c>
      <c r="AC879" s="4">
        <v>43.35499</v>
      </c>
      <c r="AD879" s="22"/>
      <c r="AE879" s="22"/>
      <c r="AF879" s="22"/>
      <c r="AG879" s="22"/>
      <c r="AH879" s="20">
        <f>21.63192+28.106</f>
        <v>49.73792</v>
      </c>
      <c r="AI879" s="4">
        <v>28.106</v>
      </c>
      <c r="AJ879" s="22">
        <v>21.63192</v>
      </c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4"/>
      <c r="BA879" s="4"/>
      <c r="BB879" s="4"/>
      <c r="BC879" s="22"/>
      <c r="BD879" s="22"/>
      <c r="BE879" s="22"/>
      <c r="BF879" s="22">
        <v>120.16834</v>
      </c>
      <c r="BG879" s="22">
        <v>75.15441</v>
      </c>
      <c r="BH879" s="22"/>
      <c r="BI879" s="22"/>
      <c r="BJ879" s="22"/>
      <c r="BK879" s="22"/>
      <c r="BL879" s="22"/>
      <c r="BM879" s="22"/>
      <c r="BN879" s="22"/>
      <c r="BO879" s="4"/>
      <c r="BP879" s="4"/>
      <c r="BQ879" s="4"/>
      <c r="BR879" s="4"/>
      <c r="BS879" s="4"/>
      <c r="BT879" s="22"/>
      <c r="BU879" s="24"/>
    </row>
    <row r="880" spans="1:73" ht="73.5" customHeight="1" outlineLevel="2">
      <c r="A880" s="26" t="s">
        <v>4</v>
      </c>
      <c r="B880" s="26" t="s">
        <v>435</v>
      </c>
      <c r="C880" s="39">
        <f t="shared" si="145"/>
        <v>945.1861999999999</v>
      </c>
      <c r="D880" s="1">
        <f t="shared" si="143"/>
        <v>247.44964999999996</v>
      </c>
      <c r="E880" s="1">
        <f t="shared" si="144"/>
        <v>697.73655</v>
      </c>
      <c r="F880" s="22"/>
      <c r="G880" s="22"/>
      <c r="H880" s="22"/>
      <c r="I880" s="22"/>
      <c r="J880" s="22"/>
      <c r="K880" s="22"/>
      <c r="L880" s="22"/>
      <c r="M880" s="22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22">
        <v>45</v>
      </c>
      <c r="AA880" s="22">
        <v>23.895</v>
      </c>
      <c r="AB880" s="23">
        <v>83.21207</v>
      </c>
      <c r="AC880" s="4">
        <v>34.9637</v>
      </c>
      <c r="AD880" s="22"/>
      <c r="AE880" s="22"/>
      <c r="AF880" s="22"/>
      <c r="AG880" s="22"/>
      <c r="AH880" s="20">
        <v>31.31505</v>
      </c>
      <c r="AI880" s="4"/>
      <c r="AJ880" s="20">
        <v>31.31505</v>
      </c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4"/>
      <c r="BA880" s="4"/>
      <c r="BB880" s="4"/>
      <c r="BC880" s="22"/>
      <c r="BD880" s="22">
        <v>486.3173</v>
      </c>
      <c r="BE880" s="22">
        <v>46.799</v>
      </c>
      <c r="BF880" s="22">
        <v>119.23758</v>
      </c>
      <c r="BG880" s="22">
        <v>74.4465</v>
      </c>
      <c r="BH880" s="22"/>
      <c r="BI880" s="22"/>
      <c r="BJ880" s="22"/>
      <c r="BK880" s="22"/>
      <c r="BL880" s="22"/>
      <c r="BM880" s="22"/>
      <c r="BN880" s="22"/>
      <c r="BO880" s="4"/>
      <c r="BP880" s="4"/>
      <c r="BQ880" s="4"/>
      <c r="BR880" s="4"/>
      <c r="BS880" s="4"/>
      <c r="BT880" s="22"/>
      <c r="BU880" s="24"/>
    </row>
    <row r="881" spans="1:73" ht="73.5" customHeight="1" outlineLevel="2">
      <c r="A881" s="44" t="s">
        <v>4</v>
      </c>
      <c r="B881" s="26" t="s">
        <v>73</v>
      </c>
      <c r="C881" s="39">
        <f t="shared" si="145"/>
        <v>237.71578</v>
      </c>
      <c r="D881" s="1">
        <f t="shared" si="143"/>
        <v>0</v>
      </c>
      <c r="E881" s="1">
        <f t="shared" si="144"/>
        <v>237.71578</v>
      </c>
      <c r="F881" s="22"/>
      <c r="G881" s="22"/>
      <c r="H881" s="22"/>
      <c r="I881" s="22"/>
      <c r="J881" s="22"/>
      <c r="K881" s="22"/>
      <c r="L881" s="22"/>
      <c r="M881" s="22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22"/>
      <c r="AA881" s="22"/>
      <c r="AB881" s="4"/>
      <c r="AC881" s="4"/>
      <c r="AD881" s="22"/>
      <c r="AE881" s="22"/>
      <c r="AF881" s="22"/>
      <c r="AG881" s="22"/>
      <c r="AH881" s="20"/>
      <c r="AI881" s="4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4"/>
      <c r="BA881" s="4"/>
      <c r="BB881" s="4"/>
      <c r="BC881" s="22"/>
      <c r="BD881" s="22"/>
      <c r="BE881" s="22"/>
      <c r="BF881" s="22"/>
      <c r="BG881" s="22"/>
      <c r="BH881" s="22"/>
      <c r="BI881" s="22"/>
      <c r="BJ881" s="22">
        <v>237.71578</v>
      </c>
      <c r="BK881" s="22"/>
      <c r="BL881" s="22"/>
      <c r="BM881" s="22"/>
      <c r="BN881" s="22"/>
      <c r="BO881" s="4"/>
      <c r="BP881" s="4"/>
      <c r="BQ881" s="4"/>
      <c r="BR881" s="4"/>
      <c r="BS881" s="4"/>
      <c r="BT881" s="22"/>
      <c r="BU881" s="24"/>
    </row>
    <row r="882" spans="1:73" ht="73.5" customHeight="1" outlineLevel="2">
      <c r="A882" s="46" t="s">
        <v>4</v>
      </c>
      <c r="B882" s="45" t="s">
        <v>366</v>
      </c>
      <c r="C882" s="39">
        <f t="shared" si="145"/>
        <v>40.016</v>
      </c>
      <c r="D882" s="1">
        <f t="shared" si="143"/>
        <v>0</v>
      </c>
      <c r="E882" s="1">
        <f t="shared" si="144"/>
        <v>40.016</v>
      </c>
      <c r="F882" s="22"/>
      <c r="G882" s="22"/>
      <c r="H882" s="22"/>
      <c r="I882" s="22"/>
      <c r="J882" s="22"/>
      <c r="K882" s="22"/>
      <c r="L882" s="22"/>
      <c r="M882" s="22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22"/>
      <c r="AA882" s="22"/>
      <c r="AB882" s="4"/>
      <c r="AC882" s="4"/>
      <c r="AD882" s="22"/>
      <c r="AE882" s="22"/>
      <c r="AF882" s="22"/>
      <c r="AG882" s="22"/>
      <c r="AH882" s="20"/>
      <c r="AI882" s="4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4"/>
      <c r="BA882" s="4"/>
      <c r="BB882" s="4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>
        <v>40.016</v>
      </c>
      <c r="BN882" s="22"/>
      <c r="BO882" s="4"/>
      <c r="BP882" s="4"/>
      <c r="BQ882" s="4"/>
      <c r="BR882" s="4"/>
      <c r="BS882" s="4"/>
      <c r="BT882" s="22"/>
      <c r="BU882" s="24"/>
    </row>
    <row r="883" spans="1:73" ht="73.5" customHeight="1" outlineLevel="2" thickBot="1">
      <c r="A883" s="44" t="s">
        <v>4</v>
      </c>
      <c r="B883" s="26" t="s">
        <v>1053</v>
      </c>
      <c r="C883" s="39">
        <f t="shared" si="145"/>
        <v>206.40809000000002</v>
      </c>
      <c r="D883" s="1">
        <f t="shared" si="143"/>
        <v>126.28824999999999</v>
      </c>
      <c r="E883" s="1">
        <f t="shared" si="144"/>
        <v>80.11984000000001</v>
      </c>
      <c r="F883" s="22"/>
      <c r="G883" s="22"/>
      <c r="H883" s="22"/>
      <c r="I883" s="22"/>
      <c r="J883" s="22"/>
      <c r="K883" s="22"/>
      <c r="L883" s="22"/>
      <c r="M883" s="22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22">
        <v>34.75158</v>
      </c>
      <c r="AA883" s="22">
        <v>23.166</v>
      </c>
      <c r="AB883" s="4">
        <v>60.73542</v>
      </c>
      <c r="AC883" s="4">
        <v>31.70042</v>
      </c>
      <c r="AD883" s="22"/>
      <c r="AE883" s="22"/>
      <c r="AF883" s="22"/>
      <c r="AG883" s="22"/>
      <c r="AH883" s="20">
        <f>3.60532+2.40885</f>
        <v>6.01417</v>
      </c>
      <c r="AI883" s="4"/>
      <c r="AJ883" s="20">
        <f>3.60532+2.40885</f>
        <v>6.01417</v>
      </c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4"/>
      <c r="BA883" s="4"/>
      <c r="BB883" s="4"/>
      <c r="BC883" s="22"/>
      <c r="BD883" s="22"/>
      <c r="BE883" s="22"/>
      <c r="BF883" s="22">
        <v>30.80125</v>
      </c>
      <c r="BG883" s="22">
        <v>19.23925</v>
      </c>
      <c r="BH883" s="22"/>
      <c r="BI883" s="22"/>
      <c r="BJ883" s="22"/>
      <c r="BK883" s="22"/>
      <c r="BL883" s="22"/>
      <c r="BM883" s="22"/>
      <c r="BN883" s="22"/>
      <c r="BO883" s="4"/>
      <c r="BP883" s="4"/>
      <c r="BQ883" s="4"/>
      <c r="BR883" s="4"/>
      <c r="BS883" s="4"/>
      <c r="BT883" s="22"/>
      <c r="BU883" s="24"/>
    </row>
    <row r="884" spans="1:74" s="35" customFormat="1" ht="73.5" customHeight="1" outlineLevel="1" thickBot="1">
      <c r="A884" s="29" t="s">
        <v>417</v>
      </c>
      <c r="B884" s="48"/>
      <c r="C884" s="49">
        <f aca="true" t="shared" si="146" ref="C884:BN884">SUBTOTAL(9,C857:C883)</f>
        <v>42920.35653999999</v>
      </c>
      <c r="D884" s="49">
        <f t="shared" si="146"/>
        <v>17031.4336</v>
      </c>
      <c r="E884" s="49">
        <f t="shared" si="146"/>
        <v>25888.922939999997</v>
      </c>
      <c r="F884" s="49">
        <f t="shared" si="146"/>
        <v>0</v>
      </c>
      <c r="G884" s="49">
        <f t="shared" si="146"/>
        <v>0</v>
      </c>
      <c r="H884" s="49">
        <f t="shared" si="146"/>
        <v>0</v>
      </c>
      <c r="I884" s="49">
        <f t="shared" si="146"/>
        <v>0</v>
      </c>
      <c r="J884" s="49">
        <f t="shared" si="146"/>
        <v>1910.64612</v>
      </c>
      <c r="K884" s="49">
        <f t="shared" si="146"/>
        <v>659.1092499999999</v>
      </c>
      <c r="L884" s="49">
        <f t="shared" si="146"/>
        <v>657.85154</v>
      </c>
      <c r="M884" s="49">
        <f t="shared" si="146"/>
        <v>0</v>
      </c>
      <c r="N884" s="49">
        <f t="shared" si="146"/>
        <v>0</v>
      </c>
      <c r="O884" s="49">
        <f t="shared" si="146"/>
        <v>0</v>
      </c>
      <c r="P884" s="49">
        <f t="shared" si="146"/>
        <v>0</v>
      </c>
      <c r="Q884" s="49">
        <f t="shared" si="146"/>
        <v>0</v>
      </c>
      <c r="R884" s="49">
        <f t="shared" si="146"/>
        <v>499.54407</v>
      </c>
      <c r="S884" s="49">
        <f t="shared" si="146"/>
        <v>598.7401799999998</v>
      </c>
      <c r="T884" s="49">
        <f t="shared" si="146"/>
        <v>0</v>
      </c>
      <c r="U884" s="49">
        <f t="shared" si="146"/>
        <v>0</v>
      </c>
      <c r="V884" s="49">
        <f t="shared" si="146"/>
        <v>0</v>
      </c>
      <c r="W884" s="49">
        <f t="shared" si="146"/>
        <v>0</v>
      </c>
      <c r="X884" s="49">
        <f t="shared" si="146"/>
        <v>0</v>
      </c>
      <c r="Y884" s="49">
        <f t="shared" si="146"/>
        <v>0</v>
      </c>
      <c r="Z884" s="49">
        <f t="shared" si="146"/>
        <v>900.38703</v>
      </c>
      <c r="AA884" s="49">
        <f t="shared" si="146"/>
        <v>949.1175</v>
      </c>
      <c r="AB884" s="49">
        <f t="shared" si="146"/>
        <v>4910.353299999999</v>
      </c>
      <c r="AC884" s="49">
        <f t="shared" si="146"/>
        <v>1705.7622899999997</v>
      </c>
      <c r="AD884" s="49">
        <f t="shared" si="146"/>
        <v>0</v>
      </c>
      <c r="AE884" s="49">
        <f t="shared" si="146"/>
        <v>0</v>
      </c>
      <c r="AF884" s="49">
        <f t="shared" si="146"/>
        <v>0</v>
      </c>
      <c r="AG884" s="49">
        <f t="shared" si="146"/>
        <v>0</v>
      </c>
      <c r="AH884" s="49">
        <f t="shared" si="146"/>
        <v>1737.73858</v>
      </c>
      <c r="AI884" s="49">
        <f t="shared" si="146"/>
        <v>781.81815</v>
      </c>
      <c r="AJ884" s="49">
        <f t="shared" si="146"/>
        <v>955.92043</v>
      </c>
      <c r="AK884" s="49">
        <f t="shared" si="146"/>
        <v>0</v>
      </c>
      <c r="AL884" s="49">
        <f t="shared" si="146"/>
        <v>285.9125</v>
      </c>
      <c r="AM884" s="49">
        <f t="shared" si="146"/>
        <v>0</v>
      </c>
      <c r="AN884" s="49">
        <f t="shared" si="146"/>
        <v>0</v>
      </c>
      <c r="AO884" s="49">
        <f t="shared" si="146"/>
        <v>0</v>
      </c>
      <c r="AP884" s="49">
        <f t="shared" si="146"/>
        <v>0</v>
      </c>
      <c r="AQ884" s="49">
        <f t="shared" si="146"/>
        <v>0</v>
      </c>
      <c r="AR884" s="49">
        <f t="shared" si="146"/>
        <v>0</v>
      </c>
      <c r="AS884" s="49">
        <f t="shared" si="146"/>
        <v>0</v>
      </c>
      <c r="AT884" s="49">
        <f t="shared" si="146"/>
        <v>0</v>
      </c>
      <c r="AU884" s="49">
        <f t="shared" si="146"/>
        <v>0</v>
      </c>
      <c r="AV884" s="49">
        <f t="shared" si="146"/>
        <v>0</v>
      </c>
      <c r="AW884" s="49">
        <f t="shared" si="146"/>
        <v>0</v>
      </c>
      <c r="AX884" s="49">
        <f t="shared" si="146"/>
        <v>0</v>
      </c>
      <c r="AY884" s="49">
        <f t="shared" si="146"/>
        <v>1933.98074</v>
      </c>
      <c r="AZ884" s="49">
        <f t="shared" si="146"/>
        <v>1702.83015</v>
      </c>
      <c r="BA884" s="49">
        <f t="shared" si="146"/>
        <v>0</v>
      </c>
      <c r="BB884" s="49">
        <f t="shared" si="146"/>
        <v>0</v>
      </c>
      <c r="BC884" s="49">
        <f t="shared" si="146"/>
        <v>0</v>
      </c>
      <c r="BD884" s="49">
        <f t="shared" si="146"/>
        <v>2883.77417</v>
      </c>
      <c r="BE884" s="49">
        <f t="shared" si="146"/>
        <v>6010.23692</v>
      </c>
      <c r="BF884" s="49">
        <f t="shared" si="146"/>
        <v>5376.52234</v>
      </c>
      <c r="BG884" s="49">
        <f t="shared" si="146"/>
        <v>3360.6039000000005</v>
      </c>
      <c r="BH884" s="49">
        <f t="shared" si="146"/>
        <v>0</v>
      </c>
      <c r="BI884" s="49">
        <f t="shared" si="146"/>
        <v>0</v>
      </c>
      <c r="BJ884" s="49">
        <f t="shared" si="146"/>
        <v>917.22996</v>
      </c>
      <c r="BK884" s="49">
        <f t="shared" si="146"/>
        <v>0</v>
      </c>
      <c r="BL884" s="49">
        <f t="shared" si="146"/>
        <v>0</v>
      </c>
      <c r="BM884" s="49">
        <f t="shared" si="146"/>
        <v>40.016</v>
      </c>
      <c r="BN884" s="49">
        <f t="shared" si="146"/>
        <v>0</v>
      </c>
      <c r="BO884" s="49">
        <f aca="true" t="shared" si="147" ref="BO884:BT884">SUBTOTAL(9,BO857:BO883)</f>
        <v>1500</v>
      </c>
      <c r="BP884" s="49">
        <f t="shared" si="147"/>
        <v>4380</v>
      </c>
      <c r="BQ884" s="49">
        <f t="shared" si="147"/>
        <v>0</v>
      </c>
      <c r="BR884" s="49">
        <f t="shared" si="147"/>
        <v>0</v>
      </c>
      <c r="BS884" s="2">
        <f t="shared" si="147"/>
        <v>0</v>
      </c>
      <c r="BT884" s="2">
        <f t="shared" si="147"/>
        <v>0</v>
      </c>
      <c r="BU884" s="50"/>
      <c r="BV884" s="34"/>
    </row>
    <row r="885" spans="1:73" ht="73.5" customHeight="1" outlineLevel="2">
      <c r="A885" s="51" t="s">
        <v>271</v>
      </c>
      <c r="B885" s="37" t="s">
        <v>93</v>
      </c>
      <c r="C885" s="39">
        <f>D885+E885</f>
        <v>5330.04557</v>
      </c>
      <c r="D885" s="1">
        <f aca="true" t="shared" si="148" ref="D885:D912">F885+J885+N885+R885+T885+Z885+AB885+AD885+AF885+AM885+AO885+AT885+AY885+BF885+BO885+BS885+H885+V885+X885+BQ885+AR885+BH885</f>
        <v>2348.4123099999997</v>
      </c>
      <c r="E885" s="1">
        <f aca="true" t="shared" si="149" ref="E885:E912">G885+I885+K885+L885+M885+O885+P885+Q885+S885+U885+W885+Y885+AA885+AC885+AE885+AG885+AH885+AK885+AL885+AN885+AP885+AQ885+AS885+AU885+AV885+AW885+AX885+AZ885+BA885+BB885+BC885+BD885+BE885+BG885+BI885+BJ885+BK885+BL885+BM885+BN885+BU885+BP885+BR885+BT885</f>
        <v>2981.63326</v>
      </c>
      <c r="F885" s="40"/>
      <c r="G885" s="40"/>
      <c r="H885" s="40"/>
      <c r="I885" s="40"/>
      <c r="J885" s="40"/>
      <c r="K885" s="40"/>
      <c r="L885" s="40"/>
      <c r="M885" s="40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0"/>
      <c r="AA885" s="40"/>
      <c r="AB885" s="42">
        <v>463.38662</v>
      </c>
      <c r="AC885" s="41">
        <v>199.29308</v>
      </c>
      <c r="AD885" s="40"/>
      <c r="AE885" s="40"/>
      <c r="AF885" s="40"/>
      <c r="AG885" s="40"/>
      <c r="AH885" s="43">
        <f>550.4466+151.75755+146.1512</f>
        <v>848.35535</v>
      </c>
      <c r="AI885" s="41">
        <v>146.1512</v>
      </c>
      <c r="AJ885" s="40">
        <v>702.20415</v>
      </c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>
        <v>800.21758</v>
      </c>
      <c r="AZ885" s="41">
        <v>896.53554</v>
      </c>
      <c r="BA885" s="41"/>
      <c r="BB885" s="41"/>
      <c r="BC885" s="40"/>
      <c r="BD885" s="40">
        <f>56.994+163.515</f>
        <v>220.509</v>
      </c>
      <c r="BE885" s="40">
        <v>139.5</v>
      </c>
      <c r="BF885" s="40">
        <v>1084.80811</v>
      </c>
      <c r="BG885" s="40">
        <v>677.44029</v>
      </c>
      <c r="BH885" s="40"/>
      <c r="BI885" s="40"/>
      <c r="BJ885" s="40"/>
      <c r="BK885" s="40"/>
      <c r="BL885" s="40"/>
      <c r="BM885" s="40"/>
      <c r="BN885" s="40"/>
      <c r="BO885" s="41"/>
      <c r="BP885" s="41"/>
      <c r="BQ885" s="41"/>
      <c r="BR885" s="41"/>
      <c r="BS885" s="4"/>
      <c r="BT885" s="22"/>
      <c r="BU885" s="24"/>
    </row>
    <row r="886" spans="1:73" ht="73.5" customHeight="1" outlineLevel="2">
      <c r="A886" s="46" t="s">
        <v>271</v>
      </c>
      <c r="B886" s="45" t="s">
        <v>484</v>
      </c>
      <c r="C886" s="39">
        <f aca="true" t="shared" si="150" ref="C886:C912">D886+E886</f>
        <v>49158.86422</v>
      </c>
      <c r="D886" s="1">
        <f t="shared" si="148"/>
        <v>23723.91008</v>
      </c>
      <c r="E886" s="1">
        <f t="shared" si="149"/>
        <v>25434.954139999998</v>
      </c>
      <c r="F886" s="22"/>
      <c r="G886" s="22"/>
      <c r="H886" s="22">
        <v>2325.35695</v>
      </c>
      <c r="I886" s="22">
        <v>860.11359</v>
      </c>
      <c r="J886" s="22">
        <v>3485.30948</v>
      </c>
      <c r="K886" s="22">
        <v>767.84516</v>
      </c>
      <c r="L886" s="22">
        <f>8081.1112+393.23889</f>
        <v>8474.35009</v>
      </c>
      <c r="M886" s="22"/>
      <c r="N886" s="4"/>
      <c r="O886" s="4"/>
      <c r="P886" s="4"/>
      <c r="Q886" s="4"/>
      <c r="R886" s="4">
        <v>1092.34851</v>
      </c>
      <c r="S886" s="4">
        <v>1949.97923</v>
      </c>
      <c r="T886" s="4"/>
      <c r="U886" s="4"/>
      <c r="V886" s="4"/>
      <c r="W886" s="4"/>
      <c r="X886" s="4"/>
      <c r="Y886" s="4"/>
      <c r="Z886" s="22"/>
      <c r="AA886" s="22">
        <v>315.495</v>
      </c>
      <c r="AB886" s="23">
        <v>1675.66422</v>
      </c>
      <c r="AC886" s="4">
        <v>932.36527</v>
      </c>
      <c r="AD886" s="85"/>
      <c r="AE886" s="22"/>
      <c r="AF886" s="22"/>
      <c r="AG886" s="22"/>
      <c r="AH886" s="20">
        <f>794.8125+255.07639+342.0567+638.4912+568.1927</f>
        <v>2598.62949</v>
      </c>
      <c r="AI886" s="4">
        <f>638.4912+568.1927</f>
        <v>1206.6839</v>
      </c>
      <c r="AJ886" s="22">
        <v>1391.94559</v>
      </c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>
        <v>8979.70358</v>
      </c>
      <c r="AZ886" s="4">
        <v>5681.66215</v>
      </c>
      <c r="BA886" s="4"/>
      <c r="BB886" s="4"/>
      <c r="BC886" s="22"/>
      <c r="BD886" s="22"/>
      <c r="BE886" s="22"/>
      <c r="BF886" s="22">
        <v>6165.52734</v>
      </c>
      <c r="BG886" s="22">
        <v>3854.51416</v>
      </c>
      <c r="BH886" s="22"/>
      <c r="BI886" s="22"/>
      <c r="BJ886" s="22"/>
      <c r="BK886" s="22"/>
      <c r="BL886" s="22"/>
      <c r="BM886" s="22"/>
      <c r="BN886" s="22"/>
      <c r="BO886" s="4"/>
      <c r="BP886" s="4"/>
      <c r="BQ886" s="4"/>
      <c r="BR886" s="4"/>
      <c r="BS886" s="4"/>
      <c r="BT886" s="22"/>
      <c r="BU886" s="24"/>
    </row>
    <row r="887" spans="1:73" ht="73.5" customHeight="1" outlineLevel="2">
      <c r="A887" s="46" t="s">
        <v>271</v>
      </c>
      <c r="B887" s="45" t="s">
        <v>865</v>
      </c>
      <c r="C887" s="39">
        <f t="shared" si="150"/>
        <v>34350.71</v>
      </c>
      <c r="D887" s="1">
        <f t="shared" si="148"/>
        <v>0</v>
      </c>
      <c r="E887" s="1">
        <f t="shared" si="149"/>
        <v>34350.71</v>
      </c>
      <c r="F887" s="22"/>
      <c r="G887" s="22"/>
      <c r="H887" s="22"/>
      <c r="I887" s="22"/>
      <c r="J887" s="22"/>
      <c r="K887" s="22"/>
      <c r="L887" s="22"/>
      <c r="M887" s="22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22"/>
      <c r="AA887" s="22"/>
      <c r="AB887" s="23"/>
      <c r="AC887" s="4"/>
      <c r="AD887" s="85"/>
      <c r="AE887" s="22"/>
      <c r="AF887" s="22"/>
      <c r="AG887" s="22"/>
      <c r="AH887" s="20"/>
      <c r="AI887" s="4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4"/>
      <c r="BA887" s="4"/>
      <c r="BB887" s="4"/>
      <c r="BC887" s="22">
        <v>34350.71</v>
      </c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4"/>
      <c r="BP887" s="4"/>
      <c r="BQ887" s="4"/>
      <c r="BR887" s="4"/>
      <c r="BS887" s="4"/>
      <c r="BT887" s="22"/>
      <c r="BU887" s="24"/>
    </row>
    <row r="888" spans="1:73" ht="73.5" customHeight="1" outlineLevel="2">
      <c r="A888" s="46" t="s">
        <v>271</v>
      </c>
      <c r="B888" s="45" t="s">
        <v>522</v>
      </c>
      <c r="C888" s="39">
        <f t="shared" si="150"/>
        <v>23198.963020000003</v>
      </c>
      <c r="D888" s="1">
        <f t="shared" si="148"/>
        <v>12397.3593</v>
      </c>
      <c r="E888" s="1">
        <f t="shared" si="149"/>
        <v>10801.603720000001</v>
      </c>
      <c r="F888" s="22"/>
      <c r="G888" s="22"/>
      <c r="H888" s="22"/>
      <c r="I888" s="22"/>
      <c r="J888" s="22">
        <v>98.47271</v>
      </c>
      <c r="K888" s="22">
        <v>16.07899</v>
      </c>
      <c r="L888" s="22">
        <f>676.87998+57.82951</f>
        <v>734.7094900000001</v>
      </c>
      <c r="M888" s="22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22">
        <v>130.51148</v>
      </c>
      <c r="AA888" s="22">
        <v>170.901</v>
      </c>
      <c r="AB888" s="23">
        <v>1306.89635</v>
      </c>
      <c r="AC888" s="4">
        <v>461.28772</v>
      </c>
      <c r="AD888" s="22"/>
      <c r="AE888" s="22"/>
      <c r="AF888" s="22"/>
      <c r="AG888" s="22"/>
      <c r="AH888" s="20">
        <f>296.28855+133.019+322.70055</f>
        <v>752.0081</v>
      </c>
      <c r="AI888" s="4">
        <f>133.019+322.70055</f>
        <v>455.71955</v>
      </c>
      <c r="AJ888" s="22">
        <v>296.28855</v>
      </c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>
        <v>7896.75542</v>
      </c>
      <c r="AZ888" s="4">
        <v>6795.05717</v>
      </c>
      <c r="BA888" s="4"/>
      <c r="BB888" s="4"/>
      <c r="BC888" s="22"/>
      <c r="BD888" s="22">
        <v>20.59401</v>
      </c>
      <c r="BE888" s="22"/>
      <c r="BF888" s="22">
        <f>2973.87115-9.14781</f>
        <v>2964.72334</v>
      </c>
      <c r="BG888" s="22">
        <f>1856.71151-5.74427</f>
        <v>1850.9672400000002</v>
      </c>
      <c r="BH888" s="22"/>
      <c r="BI888" s="22"/>
      <c r="BJ888" s="22"/>
      <c r="BK888" s="22"/>
      <c r="BL888" s="22"/>
      <c r="BM888" s="22"/>
      <c r="BN888" s="22"/>
      <c r="BO888" s="4"/>
      <c r="BP888" s="4"/>
      <c r="BQ888" s="4"/>
      <c r="BR888" s="4"/>
      <c r="BS888" s="4"/>
      <c r="BT888" s="22"/>
      <c r="BU888" s="24"/>
    </row>
    <row r="889" spans="1:73" ht="73.5" customHeight="1" outlineLevel="2">
      <c r="A889" s="44" t="s">
        <v>271</v>
      </c>
      <c r="B889" s="26" t="s">
        <v>380</v>
      </c>
      <c r="C889" s="39">
        <f t="shared" si="150"/>
        <v>2226.8165</v>
      </c>
      <c r="D889" s="1">
        <f t="shared" si="148"/>
        <v>1089.82592</v>
      </c>
      <c r="E889" s="1">
        <f t="shared" si="149"/>
        <v>1136.9905800000001</v>
      </c>
      <c r="F889" s="22"/>
      <c r="G889" s="22"/>
      <c r="H889" s="22"/>
      <c r="I889" s="22"/>
      <c r="J889" s="22">
        <v>70.50961</v>
      </c>
      <c r="K889" s="22">
        <v>22.64338</v>
      </c>
      <c r="L889" s="22"/>
      <c r="M889" s="22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22"/>
      <c r="AA889" s="22">
        <v>89.1</v>
      </c>
      <c r="AB889" s="23">
        <v>408.61803</v>
      </c>
      <c r="AC889" s="4">
        <v>190.6687</v>
      </c>
      <c r="AD889" s="85"/>
      <c r="AE889" s="22"/>
      <c r="AF889" s="22"/>
      <c r="AG889" s="22"/>
      <c r="AH889" s="20">
        <f>110.8071+239.4342+101.94565</f>
        <v>452.18695</v>
      </c>
      <c r="AI889" s="4">
        <f>239.4342+101.94565</f>
        <v>341.37985000000003</v>
      </c>
      <c r="AJ889" s="22">
        <v>110.8071</v>
      </c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4"/>
      <c r="BA889" s="4"/>
      <c r="BB889" s="4"/>
      <c r="BC889" s="22"/>
      <c r="BD889" s="22"/>
      <c r="BE889" s="22"/>
      <c r="BF889" s="22">
        <v>610.69828</v>
      </c>
      <c r="BG889" s="22">
        <v>382.39155</v>
      </c>
      <c r="BH889" s="22"/>
      <c r="BI889" s="22"/>
      <c r="BJ889" s="22"/>
      <c r="BK889" s="22"/>
      <c r="BL889" s="22"/>
      <c r="BM889" s="22"/>
      <c r="BN889" s="22"/>
      <c r="BO889" s="4"/>
      <c r="BP889" s="4"/>
      <c r="BQ889" s="4"/>
      <c r="BR889" s="4"/>
      <c r="BS889" s="4"/>
      <c r="BT889" s="22"/>
      <c r="BU889" s="24"/>
    </row>
    <row r="890" spans="1:73" ht="73.5" customHeight="1" outlineLevel="2">
      <c r="A890" s="44" t="s">
        <v>271</v>
      </c>
      <c r="B890" s="26" t="s">
        <v>381</v>
      </c>
      <c r="C890" s="39">
        <f t="shared" si="150"/>
        <v>3355.20384</v>
      </c>
      <c r="D890" s="1">
        <f t="shared" si="148"/>
        <v>986.7833899999999</v>
      </c>
      <c r="E890" s="1">
        <f t="shared" si="149"/>
        <v>2368.42045</v>
      </c>
      <c r="F890" s="22"/>
      <c r="G890" s="22"/>
      <c r="H890" s="22"/>
      <c r="I890" s="22"/>
      <c r="J890" s="22"/>
      <c r="K890" s="22"/>
      <c r="L890" s="22"/>
      <c r="M890" s="22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22">
        <v>76.5</v>
      </c>
      <c r="AA890" s="22">
        <v>40.6215</v>
      </c>
      <c r="AB890" s="23">
        <v>281.64189</v>
      </c>
      <c r="AC890" s="4">
        <v>168.99121</v>
      </c>
      <c r="AD890" s="22"/>
      <c r="AE890" s="22"/>
      <c r="AF890" s="22"/>
      <c r="AG890" s="22"/>
      <c r="AH890" s="20">
        <f>100.94896+132.3041</f>
        <v>233.25306</v>
      </c>
      <c r="AI890" s="4">
        <v>132.3041</v>
      </c>
      <c r="AJ890" s="22">
        <v>100.94896</v>
      </c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4"/>
      <c r="BA890" s="4"/>
      <c r="BB890" s="4"/>
      <c r="BC890" s="22"/>
      <c r="BD890" s="22">
        <f>580.81656+670.20102</f>
        <v>1251.01758</v>
      </c>
      <c r="BE890" s="22">
        <v>281.76</v>
      </c>
      <c r="BF890" s="22">
        <v>628.6415</v>
      </c>
      <c r="BG890" s="22">
        <v>392.7771</v>
      </c>
      <c r="BH890" s="22"/>
      <c r="BI890" s="22"/>
      <c r="BJ890" s="22"/>
      <c r="BK890" s="22"/>
      <c r="BL890" s="22"/>
      <c r="BM890" s="22"/>
      <c r="BN890" s="22"/>
      <c r="BO890" s="4"/>
      <c r="BP890" s="4"/>
      <c r="BQ890" s="4"/>
      <c r="BR890" s="4"/>
      <c r="BS890" s="4"/>
      <c r="BT890" s="22"/>
      <c r="BU890" s="24"/>
    </row>
    <row r="891" spans="1:73" ht="73.5" customHeight="1" outlineLevel="2">
      <c r="A891" s="46" t="s">
        <v>271</v>
      </c>
      <c r="B891" s="45" t="s">
        <v>544</v>
      </c>
      <c r="C891" s="39">
        <f t="shared" si="150"/>
        <v>24774.16096</v>
      </c>
      <c r="D891" s="1">
        <f t="shared" si="148"/>
        <v>4710.33419</v>
      </c>
      <c r="E891" s="1">
        <f t="shared" si="149"/>
        <v>20063.82677</v>
      </c>
      <c r="F891" s="22"/>
      <c r="G891" s="22"/>
      <c r="H891" s="22"/>
      <c r="I891" s="22"/>
      <c r="J891" s="22"/>
      <c r="K891" s="22"/>
      <c r="L891" s="22"/>
      <c r="M891" s="22"/>
      <c r="N891" s="4"/>
      <c r="O891" s="4"/>
      <c r="P891" s="4"/>
      <c r="Q891" s="4"/>
      <c r="R891" s="4">
        <v>1722.62951</v>
      </c>
      <c r="S891" s="4">
        <v>3955.70149</v>
      </c>
      <c r="T891" s="4"/>
      <c r="U891" s="4"/>
      <c r="V891" s="4"/>
      <c r="W891" s="4"/>
      <c r="X891" s="4"/>
      <c r="Y891" s="4"/>
      <c r="Z891" s="22">
        <v>16.42109</v>
      </c>
      <c r="AA891" s="22">
        <v>804.6755</v>
      </c>
      <c r="AB891" s="4">
        <v>1350.7987</v>
      </c>
      <c r="AC891" s="4">
        <v>501.61252</v>
      </c>
      <c r="AD891" s="85"/>
      <c r="AE891" s="22"/>
      <c r="AF891" s="22"/>
      <c r="AG891" s="22"/>
      <c r="AH891" s="20">
        <f>55.40355+124.05835</f>
        <v>179.4619</v>
      </c>
      <c r="AI891" s="4">
        <v>124.05835</v>
      </c>
      <c r="AJ891" s="22">
        <v>55.40355</v>
      </c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4"/>
      <c r="BA891" s="4"/>
      <c r="BB891" s="4"/>
      <c r="BC891" s="22"/>
      <c r="BD891" s="22">
        <f>9547.21694+3814.1068</f>
        <v>13361.32374</v>
      </c>
      <c r="BE891" s="22"/>
      <c r="BF891" s="22">
        <v>1350.48489</v>
      </c>
      <c r="BG891" s="22">
        <v>552.78602</v>
      </c>
      <c r="BH891" s="22">
        <v>270</v>
      </c>
      <c r="BI891" s="22">
        <v>460.38996</v>
      </c>
      <c r="BJ891" s="22">
        <v>247.87564</v>
      </c>
      <c r="BK891" s="22"/>
      <c r="BL891" s="22"/>
      <c r="BM891" s="22"/>
      <c r="BN891" s="22"/>
      <c r="BO891" s="4"/>
      <c r="BP891" s="4"/>
      <c r="BQ891" s="4"/>
      <c r="BR891" s="4"/>
      <c r="BS891" s="4"/>
      <c r="BT891" s="22"/>
      <c r="BU891" s="24"/>
    </row>
    <row r="892" spans="1:73" ht="73.5" customHeight="1" outlineLevel="2">
      <c r="A892" s="44" t="s">
        <v>271</v>
      </c>
      <c r="B892" s="26" t="s">
        <v>463</v>
      </c>
      <c r="C892" s="39">
        <f t="shared" si="150"/>
        <v>199151.20519</v>
      </c>
      <c r="D892" s="1">
        <f t="shared" si="148"/>
        <v>60091.78937</v>
      </c>
      <c r="E892" s="1">
        <f t="shared" si="149"/>
        <v>139059.41582</v>
      </c>
      <c r="F892" s="22">
        <v>55648.83014</v>
      </c>
      <c r="G892" s="22">
        <v>73622.50528</v>
      </c>
      <c r="H892" s="22"/>
      <c r="I892" s="22"/>
      <c r="J892" s="22"/>
      <c r="K892" s="22"/>
      <c r="L892" s="22"/>
      <c r="M892" s="22">
        <f>13460.7816+31539.2184</f>
        <v>45000</v>
      </c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22">
        <v>2025</v>
      </c>
      <c r="AA892" s="22">
        <v>1074.708</v>
      </c>
      <c r="AB892" s="23">
        <v>517.55374</v>
      </c>
      <c r="AC892" s="4">
        <v>209.78219</v>
      </c>
      <c r="AD892" s="22">
        <v>1068.22749</v>
      </c>
      <c r="AE892" s="22">
        <v>163.13028</v>
      </c>
      <c r="AF892" s="22"/>
      <c r="AG892" s="22"/>
      <c r="AH892" s="20">
        <f>183.0726+184.77525</f>
        <v>367.84785</v>
      </c>
      <c r="AI892" s="4">
        <v>184.77525</v>
      </c>
      <c r="AJ892" s="22">
        <v>183.0726</v>
      </c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4"/>
      <c r="BA892" s="4"/>
      <c r="BB892" s="4"/>
      <c r="BC892" s="22"/>
      <c r="BD892" s="22">
        <f>9421.81253+6215.01237</f>
        <v>15636.8249</v>
      </c>
      <c r="BE892" s="22"/>
      <c r="BF892" s="22">
        <v>832.178</v>
      </c>
      <c r="BG892" s="22">
        <v>519.60742</v>
      </c>
      <c r="BH892" s="22"/>
      <c r="BI892" s="22"/>
      <c r="BJ892" s="22">
        <v>2465.0099</v>
      </c>
      <c r="BK892" s="22"/>
      <c r="BL892" s="22"/>
      <c r="BM892" s="22"/>
      <c r="BN892" s="22"/>
      <c r="BO892" s="4"/>
      <c r="BP892" s="4"/>
      <c r="BQ892" s="4"/>
      <c r="BR892" s="4"/>
      <c r="BS892" s="4"/>
      <c r="BT892" s="22"/>
      <c r="BU892" s="24"/>
    </row>
    <row r="893" spans="1:73" ht="73.5" customHeight="1" outlineLevel="2">
      <c r="A893" s="44" t="s">
        <v>271</v>
      </c>
      <c r="B893" s="26" t="s">
        <v>30</v>
      </c>
      <c r="C893" s="39">
        <f t="shared" si="150"/>
        <v>521.92803</v>
      </c>
      <c r="D893" s="1">
        <f t="shared" si="148"/>
        <v>268.77986</v>
      </c>
      <c r="E893" s="1">
        <f t="shared" si="149"/>
        <v>253.14817</v>
      </c>
      <c r="F893" s="22"/>
      <c r="G893" s="22"/>
      <c r="H893" s="22"/>
      <c r="I893" s="22"/>
      <c r="J893" s="22"/>
      <c r="K893" s="22"/>
      <c r="L893" s="22"/>
      <c r="M893" s="22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22"/>
      <c r="AA893" s="22"/>
      <c r="AB893" s="23">
        <v>97.42234</v>
      </c>
      <c r="AC893" s="4">
        <v>58.27283</v>
      </c>
      <c r="AD893" s="85"/>
      <c r="AE893" s="22"/>
      <c r="AF893" s="22"/>
      <c r="AG893" s="22"/>
      <c r="AH893" s="20">
        <f>31.54655+56.212</f>
        <v>87.75855</v>
      </c>
      <c r="AI893" s="4">
        <v>56.212</v>
      </c>
      <c r="AJ893" s="22">
        <v>31.54655</v>
      </c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4"/>
      <c r="BA893" s="4"/>
      <c r="BB893" s="4"/>
      <c r="BC893" s="22"/>
      <c r="BD893" s="22"/>
      <c r="BE893" s="22"/>
      <c r="BF893" s="22">
        <v>171.35752</v>
      </c>
      <c r="BG893" s="22">
        <v>107.11679</v>
      </c>
      <c r="BH893" s="22"/>
      <c r="BI893" s="22"/>
      <c r="BJ893" s="22"/>
      <c r="BK893" s="22"/>
      <c r="BL893" s="22"/>
      <c r="BM893" s="22"/>
      <c r="BN893" s="22"/>
      <c r="BO893" s="4"/>
      <c r="BP893" s="4"/>
      <c r="BQ893" s="4"/>
      <c r="BR893" s="4"/>
      <c r="BS893" s="4"/>
      <c r="BT893" s="22"/>
      <c r="BU893" s="24"/>
    </row>
    <row r="894" spans="1:73" ht="73.5" customHeight="1" outlineLevel="2">
      <c r="A894" s="44" t="s">
        <v>271</v>
      </c>
      <c r="B894" s="26" t="s">
        <v>1054</v>
      </c>
      <c r="C894" s="39">
        <f t="shared" si="150"/>
        <v>223.47949999999997</v>
      </c>
      <c r="D894" s="1">
        <f t="shared" si="148"/>
        <v>118.63653</v>
      </c>
      <c r="E894" s="1">
        <f t="shared" si="149"/>
        <v>104.84297</v>
      </c>
      <c r="F894" s="22"/>
      <c r="G894" s="22"/>
      <c r="H894" s="22"/>
      <c r="I894" s="22"/>
      <c r="J894" s="22"/>
      <c r="K894" s="22"/>
      <c r="L894" s="22"/>
      <c r="M894" s="22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22"/>
      <c r="AA894" s="22"/>
      <c r="AB894" s="23"/>
      <c r="AC894" s="4"/>
      <c r="AD894" s="85"/>
      <c r="AE894" s="22"/>
      <c r="AF894" s="22"/>
      <c r="AG894" s="22"/>
      <c r="AH894" s="20"/>
      <c r="AI894" s="4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>
        <v>118.63653</v>
      </c>
      <c r="AZ894" s="4">
        <v>104.84297</v>
      </c>
      <c r="BA894" s="4"/>
      <c r="BB894" s="4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4"/>
      <c r="BP894" s="4"/>
      <c r="BQ894" s="4"/>
      <c r="BR894" s="4"/>
      <c r="BS894" s="4"/>
      <c r="BT894" s="22"/>
      <c r="BU894" s="24"/>
    </row>
    <row r="895" spans="1:73" ht="73.5" customHeight="1" outlineLevel="2">
      <c r="A895" s="44" t="s">
        <v>271</v>
      </c>
      <c r="B895" s="26" t="s">
        <v>130</v>
      </c>
      <c r="C895" s="39">
        <f t="shared" si="150"/>
        <v>403.73931</v>
      </c>
      <c r="D895" s="1">
        <f t="shared" si="148"/>
        <v>235.714</v>
      </c>
      <c r="E895" s="1">
        <f t="shared" si="149"/>
        <v>168.02531</v>
      </c>
      <c r="F895" s="22"/>
      <c r="G895" s="22"/>
      <c r="H895" s="22"/>
      <c r="I895" s="22"/>
      <c r="J895" s="22"/>
      <c r="K895" s="22"/>
      <c r="L895" s="22"/>
      <c r="M895" s="22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22"/>
      <c r="AA895" s="22"/>
      <c r="AB895" s="23">
        <v>112.62022</v>
      </c>
      <c r="AC895" s="4">
        <v>46.61826</v>
      </c>
      <c r="AD895" s="85"/>
      <c r="AE895" s="22"/>
      <c r="AF895" s="22"/>
      <c r="AG895" s="22"/>
      <c r="AH895" s="20">
        <f>16.22394+28.106</f>
        <v>44.32994</v>
      </c>
      <c r="AI895" s="4">
        <v>28.106</v>
      </c>
      <c r="AJ895" s="22">
        <v>16.22394</v>
      </c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4"/>
      <c r="BA895" s="4"/>
      <c r="BB895" s="4"/>
      <c r="BC895" s="22"/>
      <c r="BD895" s="22"/>
      <c r="BE895" s="22"/>
      <c r="BF895" s="22">
        <v>123.09378</v>
      </c>
      <c r="BG895" s="22">
        <v>77.07711</v>
      </c>
      <c r="BH895" s="22"/>
      <c r="BI895" s="22"/>
      <c r="BJ895" s="22"/>
      <c r="BK895" s="22"/>
      <c r="BL895" s="22"/>
      <c r="BM895" s="22"/>
      <c r="BN895" s="22"/>
      <c r="BO895" s="4"/>
      <c r="BP895" s="4"/>
      <c r="BQ895" s="4"/>
      <c r="BR895" s="4"/>
      <c r="BS895" s="4"/>
      <c r="BT895" s="22"/>
      <c r="BU895" s="24"/>
    </row>
    <row r="896" spans="1:73" ht="73.5" customHeight="1" outlineLevel="2">
      <c r="A896" s="44" t="s">
        <v>271</v>
      </c>
      <c r="B896" s="26" t="s">
        <v>489</v>
      </c>
      <c r="C896" s="39">
        <f t="shared" si="150"/>
        <v>420.12892</v>
      </c>
      <c r="D896" s="1">
        <f t="shared" si="148"/>
        <v>268.17053</v>
      </c>
      <c r="E896" s="1">
        <f t="shared" si="149"/>
        <v>151.95839</v>
      </c>
      <c r="F896" s="22"/>
      <c r="G896" s="22"/>
      <c r="H896" s="22"/>
      <c r="I896" s="22"/>
      <c r="J896" s="22"/>
      <c r="K896" s="22"/>
      <c r="L896" s="22"/>
      <c r="M896" s="22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22"/>
      <c r="AA896" s="22"/>
      <c r="AB896" s="23">
        <v>229.10811</v>
      </c>
      <c r="AC896" s="4">
        <v>109.08674</v>
      </c>
      <c r="AD896" s="85"/>
      <c r="AE896" s="22"/>
      <c r="AF896" s="22"/>
      <c r="AG896" s="22"/>
      <c r="AH896" s="20">
        <f>7.21064+11.2424</f>
        <v>18.45304</v>
      </c>
      <c r="AI896" s="4">
        <v>11.2424</v>
      </c>
      <c r="AJ896" s="22">
        <v>7.21064</v>
      </c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4"/>
      <c r="BA896" s="4"/>
      <c r="BB896" s="4"/>
      <c r="BC896" s="22"/>
      <c r="BD896" s="22"/>
      <c r="BE896" s="22"/>
      <c r="BF896" s="22">
        <v>39.06242</v>
      </c>
      <c r="BG896" s="22">
        <v>24.41861</v>
      </c>
      <c r="BH896" s="22"/>
      <c r="BI896" s="22"/>
      <c r="BJ896" s="22"/>
      <c r="BK896" s="22"/>
      <c r="BL896" s="22"/>
      <c r="BM896" s="22"/>
      <c r="BN896" s="22"/>
      <c r="BO896" s="4"/>
      <c r="BP896" s="4"/>
      <c r="BQ896" s="4"/>
      <c r="BR896" s="4"/>
      <c r="BS896" s="4"/>
      <c r="BT896" s="22"/>
      <c r="BU896" s="24"/>
    </row>
    <row r="897" spans="1:73" ht="73.5" customHeight="1" outlineLevel="2">
      <c r="A897" s="26" t="s">
        <v>271</v>
      </c>
      <c r="B897" s="27" t="s">
        <v>1055</v>
      </c>
      <c r="C897" s="39">
        <f t="shared" si="150"/>
        <v>604.51626</v>
      </c>
      <c r="D897" s="1">
        <f t="shared" si="148"/>
        <v>259.69088999999997</v>
      </c>
      <c r="E897" s="1">
        <f t="shared" si="149"/>
        <v>344.82537</v>
      </c>
      <c r="F897" s="22"/>
      <c r="G897" s="22"/>
      <c r="H897" s="22"/>
      <c r="I897" s="22"/>
      <c r="J897" s="22">
        <v>4.16496</v>
      </c>
      <c r="K897" s="22">
        <v>1.05232</v>
      </c>
      <c r="L897" s="22"/>
      <c r="M897" s="22"/>
      <c r="N897" s="4">
        <v>17.08798</v>
      </c>
      <c r="O897" s="4">
        <v>0.84151</v>
      </c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22"/>
      <c r="AA897" s="22"/>
      <c r="AB897" s="23">
        <v>84.71359</v>
      </c>
      <c r="AC897" s="4">
        <v>43.35499</v>
      </c>
      <c r="AD897" s="22"/>
      <c r="AE897" s="22"/>
      <c r="AF897" s="22"/>
      <c r="AG897" s="22"/>
      <c r="AH897" s="20">
        <f>10.81596+16.86195+39.3484</f>
        <v>67.02631</v>
      </c>
      <c r="AI897" s="4">
        <v>39.3484</v>
      </c>
      <c r="AJ897" s="22">
        <v>27.67791</v>
      </c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4"/>
      <c r="BA897" s="4"/>
      <c r="BB897" s="4"/>
      <c r="BC897" s="22"/>
      <c r="BD897" s="22"/>
      <c r="BE897" s="22">
        <v>136.5</v>
      </c>
      <c r="BF897" s="22">
        <v>153.72436</v>
      </c>
      <c r="BG897" s="22">
        <v>96.05024</v>
      </c>
      <c r="BH897" s="22"/>
      <c r="BI897" s="22"/>
      <c r="BJ897" s="22"/>
      <c r="BK897" s="22"/>
      <c r="BL897" s="22"/>
      <c r="BM897" s="22"/>
      <c r="BN897" s="22"/>
      <c r="BO897" s="4"/>
      <c r="BP897" s="4"/>
      <c r="BQ897" s="4"/>
      <c r="BR897" s="4"/>
      <c r="BS897" s="4"/>
      <c r="BT897" s="22"/>
      <c r="BU897" s="24"/>
    </row>
    <row r="898" spans="1:73" ht="73.5" customHeight="1" outlineLevel="2">
      <c r="A898" s="44" t="s">
        <v>271</v>
      </c>
      <c r="B898" s="26" t="s">
        <v>1056</v>
      </c>
      <c r="C898" s="39">
        <f t="shared" si="150"/>
        <v>1181.4764599999999</v>
      </c>
      <c r="D898" s="1">
        <f t="shared" si="148"/>
        <v>636.3365600000001</v>
      </c>
      <c r="E898" s="1">
        <f t="shared" si="149"/>
        <v>545.1398999999999</v>
      </c>
      <c r="F898" s="22"/>
      <c r="G898" s="22"/>
      <c r="H898" s="22"/>
      <c r="I898" s="22"/>
      <c r="J898" s="22">
        <v>224.59943</v>
      </c>
      <c r="K898" s="22">
        <v>77.27735</v>
      </c>
      <c r="L898" s="22"/>
      <c r="M898" s="22"/>
      <c r="N898" s="4">
        <f>9.89287+15.7655</f>
        <v>25.658369999999998</v>
      </c>
      <c r="O898" s="4">
        <f>0.5106+0.74552</f>
        <v>1.2561200000000001</v>
      </c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22"/>
      <c r="AA898" s="22"/>
      <c r="AB898" s="23">
        <v>131.4617</v>
      </c>
      <c r="AC898" s="4">
        <v>80.6496</v>
      </c>
      <c r="AD898" s="85"/>
      <c r="AE898" s="22"/>
      <c r="AF898" s="22"/>
      <c r="AG898" s="22"/>
      <c r="AH898" s="20">
        <f>49.57315+84.318</f>
        <v>133.89114999999998</v>
      </c>
      <c r="AI898" s="4">
        <v>84.318</v>
      </c>
      <c r="AJ898" s="22">
        <v>49.57315</v>
      </c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4"/>
      <c r="BA898" s="4"/>
      <c r="BB898" s="4"/>
      <c r="BC898" s="22"/>
      <c r="BD898" s="22"/>
      <c r="BE898" s="22">
        <v>92.849</v>
      </c>
      <c r="BF898" s="22">
        <v>254.61706</v>
      </c>
      <c r="BG898" s="22">
        <v>159.21668</v>
      </c>
      <c r="BH898" s="22"/>
      <c r="BI898" s="22"/>
      <c r="BJ898" s="22"/>
      <c r="BK898" s="22"/>
      <c r="BL898" s="22"/>
      <c r="BM898" s="22"/>
      <c r="BN898" s="22"/>
      <c r="BO898" s="4"/>
      <c r="BP898" s="4"/>
      <c r="BQ898" s="4"/>
      <c r="BR898" s="4"/>
      <c r="BS898" s="4"/>
      <c r="BT898" s="22"/>
      <c r="BU898" s="24"/>
    </row>
    <row r="899" spans="1:73" ht="73.5" customHeight="1" outlineLevel="2">
      <c r="A899" s="44" t="s">
        <v>271</v>
      </c>
      <c r="B899" s="26" t="s">
        <v>1057</v>
      </c>
      <c r="C899" s="39">
        <f t="shared" si="150"/>
        <v>1017.8570500000001</v>
      </c>
      <c r="D899" s="1">
        <f t="shared" si="148"/>
        <v>553.04252</v>
      </c>
      <c r="E899" s="1">
        <f t="shared" si="149"/>
        <v>464.81453000000005</v>
      </c>
      <c r="F899" s="22"/>
      <c r="G899" s="22"/>
      <c r="H899" s="22"/>
      <c r="I899" s="22"/>
      <c r="J899" s="22">
        <v>104.12592</v>
      </c>
      <c r="K899" s="22">
        <v>37.50941</v>
      </c>
      <c r="L899" s="22">
        <v>19.24058</v>
      </c>
      <c r="M899" s="22"/>
      <c r="N899" s="4">
        <f>5.3121+9.12455</f>
        <v>14.43665</v>
      </c>
      <c r="O899" s="4">
        <f>0.2765+0.43167</f>
        <v>0.70817</v>
      </c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22">
        <v>22.5</v>
      </c>
      <c r="AA899" s="22">
        <v>18.1035</v>
      </c>
      <c r="AB899" s="23">
        <v>105.21613</v>
      </c>
      <c r="AC899" s="4">
        <v>62.93466</v>
      </c>
      <c r="AD899" s="85"/>
      <c r="AE899" s="22"/>
      <c r="AF899" s="22"/>
      <c r="AG899" s="22"/>
      <c r="AH899" s="20">
        <f>50.47448+84.318</f>
        <v>134.79248</v>
      </c>
      <c r="AI899" s="4">
        <v>84.318</v>
      </c>
      <c r="AJ899" s="22">
        <v>50.47448</v>
      </c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4"/>
      <c r="BA899" s="4"/>
      <c r="BB899" s="4"/>
      <c r="BC899" s="22"/>
      <c r="BD899" s="22"/>
      <c r="BE899" s="22"/>
      <c r="BF899" s="22">
        <v>306.76382</v>
      </c>
      <c r="BG899" s="22">
        <v>191.52573</v>
      </c>
      <c r="BH899" s="22"/>
      <c r="BI899" s="22"/>
      <c r="BJ899" s="22"/>
      <c r="BK899" s="22"/>
      <c r="BL899" s="22"/>
      <c r="BM899" s="22"/>
      <c r="BN899" s="22"/>
      <c r="BO899" s="4"/>
      <c r="BP899" s="4"/>
      <c r="BQ899" s="4"/>
      <c r="BR899" s="4"/>
      <c r="BS899" s="4"/>
      <c r="BT899" s="22"/>
      <c r="BU899" s="24"/>
    </row>
    <row r="900" spans="1:73" ht="73.5" customHeight="1" outlineLevel="2">
      <c r="A900" s="44" t="s">
        <v>271</v>
      </c>
      <c r="B900" s="26" t="s">
        <v>1058</v>
      </c>
      <c r="C900" s="39">
        <f t="shared" si="150"/>
        <v>11.583</v>
      </c>
      <c r="D900" s="1">
        <f t="shared" si="148"/>
        <v>0</v>
      </c>
      <c r="E900" s="1">
        <f t="shared" si="149"/>
        <v>11.583</v>
      </c>
      <c r="F900" s="22"/>
      <c r="G900" s="22"/>
      <c r="H900" s="22"/>
      <c r="I900" s="22"/>
      <c r="J900" s="22"/>
      <c r="K900" s="22"/>
      <c r="L900" s="22"/>
      <c r="M900" s="22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22"/>
      <c r="AA900" s="22">
        <v>11.583</v>
      </c>
      <c r="AB900" s="23"/>
      <c r="AC900" s="4"/>
      <c r="AD900" s="85"/>
      <c r="AE900" s="22"/>
      <c r="AF900" s="22"/>
      <c r="AG900" s="22"/>
      <c r="AH900" s="20"/>
      <c r="AI900" s="4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4"/>
      <c r="BA900" s="4"/>
      <c r="BB900" s="4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4"/>
      <c r="BP900" s="4"/>
      <c r="BQ900" s="4"/>
      <c r="BR900" s="4"/>
      <c r="BS900" s="4"/>
      <c r="BT900" s="22"/>
      <c r="BU900" s="24"/>
    </row>
    <row r="901" spans="1:73" ht="73.5" customHeight="1" outlineLevel="2">
      <c r="A901" s="44" t="s">
        <v>271</v>
      </c>
      <c r="B901" s="26" t="s">
        <v>1059</v>
      </c>
      <c r="C901" s="39">
        <f t="shared" si="150"/>
        <v>128.28768</v>
      </c>
      <c r="D901" s="1">
        <f t="shared" si="148"/>
        <v>78.98226</v>
      </c>
      <c r="E901" s="1">
        <f t="shared" si="149"/>
        <v>49.30542</v>
      </c>
      <c r="F901" s="22"/>
      <c r="G901" s="22"/>
      <c r="H901" s="22"/>
      <c r="I901" s="22"/>
      <c r="J901" s="22"/>
      <c r="K901" s="22"/>
      <c r="L901" s="22"/>
      <c r="M901" s="22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22"/>
      <c r="AA901" s="22"/>
      <c r="AB901" s="23">
        <v>26.25532</v>
      </c>
      <c r="AC901" s="4">
        <v>16.31639</v>
      </c>
      <c r="AD901" s="85"/>
      <c r="AE901" s="22"/>
      <c r="AF901" s="22"/>
      <c r="AG901" s="22"/>
      <c r="AH901" s="20"/>
      <c r="AI901" s="4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4"/>
      <c r="BA901" s="4"/>
      <c r="BB901" s="4"/>
      <c r="BC901" s="22"/>
      <c r="BD901" s="22"/>
      <c r="BE901" s="22"/>
      <c r="BF901" s="22">
        <v>52.72694</v>
      </c>
      <c r="BG901" s="22">
        <v>32.98903</v>
      </c>
      <c r="BH901" s="22"/>
      <c r="BI901" s="22"/>
      <c r="BJ901" s="22"/>
      <c r="BK901" s="22"/>
      <c r="BL901" s="22"/>
      <c r="BM901" s="22"/>
      <c r="BN901" s="22"/>
      <c r="BO901" s="4"/>
      <c r="BP901" s="4"/>
      <c r="BQ901" s="4"/>
      <c r="BR901" s="4"/>
      <c r="BS901" s="4"/>
      <c r="BT901" s="22"/>
      <c r="BU901" s="24"/>
    </row>
    <row r="902" spans="1:73" ht="73.5" customHeight="1" outlineLevel="2">
      <c r="A902" s="44" t="s">
        <v>271</v>
      </c>
      <c r="B902" s="26" t="s">
        <v>1060</v>
      </c>
      <c r="C902" s="39">
        <f>D902+E902</f>
        <v>21000</v>
      </c>
      <c r="D902" s="1">
        <f t="shared" si="148"/>
        <v>18240.151</v>
      </c>
      <c r="E902" s="1">
        <f t="shared" si="149"/>
        <v>2759.849</v>
      </c>
      <c r="F902" s="22"/>
      <c r="G902" s="22"/>
      <c r="H902" s="22"/>
      <c r="I902" s="22"/>
      <c r="J902" s="22"/>
      <c r="K902" s="22"/>
      <c r="L902" s="22"/>
      <c r="M902" s="22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22"/>
      <c r="AA902" s="22"/>
      <c r="AB902" s="23"/>
      <c r="AC902" s="4"/>
      <c r="AD902" s="85"/>
      <c r="AE902" s="22"/>
      <c r="AF902" s="22"/>
      <c r="AG902" s="22"/>
      <c r="AH902" s="20"/>
      <c r="AI902" s="4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4"/>
      <c r="BA902" s="4"/>
      <c r="BB902" s="4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4"/>
      <c r="BP902" s="4"/>
      <c r="BQ902" s="4"/>
      <c r="BR902" s="4"/>
      <c r="BS902" s="4">
        <v>18240.151</v>
      </c>
      <c r="BT902" s="22">
        <v>2759.849</v>
      </c>
      <c r="BU902" s="24"/>
    </row>
    <row r="903" spans="1:73" ht="73.5" customHeight="1" outlineLevel="2">
      <c r="A903" s="44" t="s">
        <v>271</v>
      </c>
      <c r="B903" s="26" t="s">
        <v>1061</v>
      </c>
      <c r="C903" s="39">
        <f t="shared" si="150"/>
        <v>522.65094</v>
      </c>
      <c r="D903" s="1">
        <f t="shared" si="148"/>
        <v>333.63648</v>
      </c>
      <c r="E903" s="1">
        <f t="shared" si="149"/>
        <v>189.01445999999999</v>
      </c>
      <c r="F903" s="22"/>
      <c r="G903" s="22"/>
      <c r="H903" s="22"/>
      <c r="I903" s="22"/>
      <c r="J903" s="22">
        <v>33.13266</v>
      </c>
      <c r="K903" s="22">
        <v>9.16145</v>
      </c>
      <c r="L903" s="22"/>
      <c r="M903" s="22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22"/>
      <c r="AA903" s="22"/>
      <c r="AB903" s="23">
        <v>101.01479</v>
      </c>
      <c r="AC903" s="4">
        <v>55.24264</v>
      </c>
      <c r="AD903" s="85"/>
      <c r="AE903" s="22"/>
      <c r="AF903" s="22"/>
      <c r="AG903" s="22"/>
      <c r="AH903" s="20"/>
      <c r="AI903" s="4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4"/>
      <c r="BA903" s="4"/>
      <c r="BB903" s="4"/>
      <c r="BC903" s="22"/>
      <c r="BD903" s="22"/>
      <c r="BE903" s="22"/>
      <c r="BF903" s="22">
        <v>199.48903</v>
      </c>
      <c r="BG903" s="22">
        <v>124.61037</v>
      </c>
      <c r="BH903" s="22"/>
      <c r="BI903" s="22"/>
      <c r="BJ903" s="22"/>
      <c r="BK903" s="22"/>
      <c r="BL903" s="22"/>
      <c r="BM903" s="22"/>
      <c r="BN903" s="22"/>
      <c r="BO903" s="4"/>
      <c r="BP903" s="4"/>
      <c r="BQ903" s="4"/>
      <c r="BR903" s="4"/>
      <c r="BS903" s="4"/>
      <c r="BT903" s="22"/>
      <c r="BU903" s="24"/>
    </row>
    <row r="904" spans="1:73" ht="73.5" customHeight="1" outlineLevel="2">
      <c r="A904" s="44" t="s">
        <v>271</v>
      </c>
      <c r="B904" s="26" t="s">
        <v>545</v>
      </c>
      <c r="C904" s="39">
        <f t="shared" si="150"/>
        <v>29.58729</v>
      </c>
      <c r="D904" s="1">
        <f t="shared" si="148"/>
        <v>18.22241</v>
      </c>
      <c r="E904" s="1">
        <f t="shared" si="149"/>
        <v>11.36488</v>
      </c>
      <c r="F904" s="22"/>
      <c r="G904" s="22"/>
      <c r="H904" s="22"/>
      <c r="I904" s="22"/>
      <c r="J904" s="22"/>
      <c r="K904" s="22"/>
      <c r="L904" s="22"/>
      <c r="M904" s="22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22"/>
      <c r="AA904" s="22"/>
      <c r="AB904" s="23"/>
      <c r="AC904" s="4"/>
      <c r="AD904" s="85"/>
      <c r="AE904" s="22"/>
      <c r="AF904" s="22"/>
      <c r="AG904" s="22"/>
      <c r="AH904" s="20"/>
      <c r="AI904" s="4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4"/>
      <c r="BA904" s="4"/>
      <c r="BB904" s="4"/>
      <c r="BC904" s="22"/>
      <c r="BD904" s="22"/>
      <c r="BE904" s="22"/>
      <c r="BF904" s="22">
        <v>18.22241</v>
      </c>
      <c r="BG904" s="22">
        <v>11.36488</v>
      </c>
      <c r="BH904" s="22"/>
      <c r="BI904" s="22"/>
      <c r="BJ904" s="22"/>
      <c r="BK904" s="22"/>
      <c r="BL904" s="22"/>
      <c r="BM904" s="22"/>
      <c r="BN904" s="22"/>
      <c r="BO904" s="4"/>
      <c r="BP904" s="4"/>
      <c r="BQ904" s="4"/>
      <c r="BR904" s="4"/>
      <c r="BS904" s="4"/>
      <c r="BT904" s="22"/>
      <c r="BU904" s="24"/>
    </row>
    <row r="905" spans="1:73" ht="73.5" customHeight="1" outlineLevel="2">
      <c r="A905" s="44" t="s">
        <v>271</v>
      </c>
      <c r="B905" s="26" t="s">
        <v>1062</v>
      </c>
      <c r="C905" s="39">
        <f t="shared" si="150"/>
        <v>2552.46121</v>
      </c>
      <c r="D905" s="1">
        <f t="shared" si="148"/>
        <v>945.12925</v>
      </c>
      <c r="E905" s="1">
        <f t="shared" si="149"/>
        <v>1607.33196</v>
      </c>
      <c r="F905" s="22"/>
      <c r="G905" s="22"/>
      <c r="H905" s="22"/>
      <c r="I905" s="22"/>
      <c r="J905" s="22">
        <v>188.88339</v>
      </c>
      <c r="K905" s="22">
        <v>67.07862</v>
      </c>
      <c r="L905" s="22"/>
      <c r="M905" s="22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22">
        <v>22.5</v>
      </c>
      <c r="AA905" s="22">
        <v>11.9475</v>
      </c>
      <c r="AB905" s="23">
        <v>349.50264</v>
      </c>
      <c r="AC905" s="4">
        <v>163.16392</v>
      </c>
      <c r="AD905" s="85"/>
      <c r="AE905" s="22"/>
      <c r="AF905" s="22"/>
      <c r="AG905" s="22"/>
      <c r="AH905" s="20">
        <f>79.31704+99.3211</f>
        <v>178.63814000000002</v>
      </c>
      <c r="AI905" s="4">
        <v>99.3211</v>
      </c>
      <c r="AJ905" s="22">
        <v>79.31704</v>
      </c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4"/>
      <c r="BA905" s="4"/>
      <c r="BB905" s="4"/>
      <c r="BC905" s="22"/>
      <c r="BD905" s="22"/>
      <c r="BE905" s="22">
        <v>946.01862</v>
      </c>
      <c r="BF905" s="22">
        <v>384.24322</v>
      </c>
      <c r="BG905" s="22">
        <v>240.48516</v>
      </c>
      <c r="BH905" s="22"/>
      <c r="BI905" s="22"/>
      <c r="BJ905" s="22"/>
      <c r="BK905" s="22"/>
      <c r="BL905" s="22"/>
      <c r="BM905" s="22"/>
      <c r="BN905" s="22"/>
      <c r="BO905" s="4"/>
      <c r="BP905" s="4"/>
      <c r="BQ905" s="4"/>
      <c r="BR905" s="4"/>
      <c r="BS905" s="4"/>
      <c r="BT905" s="22"/>
      <c r="BU905" s="24"/>
    </row>
    <row r="906" spans="1:73" ht="73.5" customHeight="1" outlineLevel="2">
      <c r="A906" s="26" t="s">
        <v>271</v>
      </c>
      <c r="B906" s="27" t="s">
        <v>1063</v>
      </c>
      <c r="C906" s="39">
        <f t="shared" si="150"/>
        <v>32.08843</v>
      </c>
      <c r="D906" s="1">
        <f t="shared" si="148"/>
        <v>19.73858</v>
      </c>
      <c r="E906" s="1">
        <f t="shared" si="149"/>
        <v>12.34985</v>
      </c>
      <c r="F906" s="22"/>
      <c r="G906" s="22"/>
      <c r="H906" s="22"/>
      <c r="I906" s="22"/>
      <c r="J906" s="22"/>
      <c r="K906" s="22"/>
      <c r="L906" s="22"/>
      <c r="M906" s="22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22"/>
      <c r="AA906" s="22"/>
      <c r="AB906" s="23"/>
      <c r="AC906" s="4"/>
      <c r="AD906" s="85"/>
      <c r="AE906" s="22"/>
      <c r="AF906" s="22"/>
      <c r="AG906" s="22"/>
      <c r="AH906" s="20"/>
      <c r="AI906" s="4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4"/>
      <c r="BA906" s="4"/>
      <c r="BB906" s="4"/>
      <c r="BC906" s="22"/>
      <c r="BD906" s="22"/>
      <c r="BE906" s="22"/>
      <c r="BF906" s="22">
        <v>19.73858</v>
      </c>
      <c r="BG906" s="22">
        <v>12.34985</v>
      </c>
      <c r="BH906" s="22"/>
      <c r="BI906" s="22"/>
      <c r="BJ906" s="22"/>
      <c r="BK906" s="22"/>
      <c r="BL906" s="22"/>
      <c r="BM906" s="22"/>
      <c r="BN906" s="22"/>
      <c r="BO906" s="4"/>
      <c r="BP906" s="4"/>
      <c r="BQ906" s="4"/>
      <c r="BR906" s="4"/>
      <c r="BS906" s="4"/>
      <c r="BT906" s="22"/>
      <c r="BU906" s="24"/>
    </row>
    <row r="907" spans="1:73" ht="73.5" customHeight="1" outlineLevel="2">
      <c r="A907" s="44" t="s">
        <v>271</v>
      </c>
      <c r="B907" s="26" t="s">
        <v>562</v>
      </c>
      <c r="C907" s="39">
        <f t="shared" si="150"/>
        <v>937.6470999999999</v>
      </c>
      <c r="D907" s="1">
        <f t="shared" si="148"/>
        <v>414.35094999999995</v>
      </c>
      <c r="E907" s="1">
        <f t="shared" si="149"/>
        <v>523.29615</v>
      </c>
      <c r="F907" s="22"/>
      <c r="G907" s="22"/>
      <c r="H907" s="22"/>
      <c r="I907" s="22"/>
      <c r="J907" s="22">
        <v>149.3917</v>
      </c>
      <c r="K907" s="22">
        <v>47.46523</v>
      </c>
      <c r="L907" s="22"/>
      <c r="M907" s="22"/>
      <c r="N907" s="4">
        <v>0.76273</v>
      </c>
      <c r="O907" s="4">
        <v>0.03922</v>
      </c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22"/>
      <c r="AA907" s="22"/>
      <c r="AB907" s="23">
        <v>76.19401</v>
      </c>
      <c r="AC907" s="4">
        <v>46.15208</v>
      </c>
      <c r="AD907" s="85"/>
      <c r="AE907" s="22"/>
      <c r="AF907" s="22"/>
      <c r="AG907" s="22"/>
      <c r="AH907" s="20"/>
      <c r="AI907" s="4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>
        <v>69.26511</v>
      </c>
      <c r="AZ907" s="4">
        <v>70.15802</v>
      </c>
      <c r="BA907" s="4"/>
      <c r="BB907" s="4"/>
      <c r="BC907" s="22"/>
      <c r="BD907" s="22">
        <v>285.25</v>
      </c>
      <c r="BE907" s="22"/>
      <c r="BF907" s="22">
        <v>118.7374</v>
      </c>
      <c r="BG907" s="22">
        <v>74.2316</v>
      </c>
      <c r="BH907" s="22"/>
      <c r="BI907" s="22"/>
      <c r="BJ907" s="22"/>
      <c r="BK907" s="22"/>
      <c r="BL907" s="22"/>
      <c r="BM907" s="22"/>
      <c r="BN907" s="22"/>
      <c r="BO907" s="4"/>
      <c r="BP907" s="4"/>
      <c r="BQ907" s="4"/>
      <c r="BR907" s="4"/>
      <c r="BS907" s="4"/>
      <c r="BT907" s="22"/>
      <c r="BU907" s="24"/>
    </row>
    <row r="908" spans="1:73" ht="73.5" customHeight="1" outlineLevel="2">
      <c r="A908" s="44" t="s">
        <v>271</v>
      </c>
      <c r="B908" s="26" t="s">
        <v>94</v>
      </c>
      <c r="C908" s="39">
        <f t="shared" si="150"/>
        <v>571.90352</v>
      </c>
      <c r="D908" s="1">
        <f t="shared" si="148"/>
        <v>304.86924</v>
      </c>
      <c r="E908" s="1">
        <f t="shared" si="149"/>
        <v>267.03427999999997</v>
      </c>
      <c r="F908" s="22"/>
      <c r="G908" s="22"/>
      <c r="H908" s="22"/>
      <c r="I908" s="22"/>
      <c r="J908" s="22"/>
      <c r="K908" s="22"/>
      <c r="L908" s="22"/>
      <c r="M908" s="22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22">
        <v>22.5</v>
      </c>
      <c r="AA908" s="22">
        <v>11.9475</v>
      </c>
      <c r="AB908" s="23">
        <v>97.32492</v>
      </c>
      <c r="AC908" s="4">
        <v>51.74627</v>
      </c>
      <c r="AD908" s="85"/>
      <c r="AE908" s="22"/>
      <c r="AF908" s="22"/>
      <c r="AG908" s="22"/>
      <c r="AH908" s="20">
        <f>31.54655+56.212</f>
        <v>87.75855</v>
      </c>
      <c r="AI908" s="4">
        <v>56.212</v>
      </c>
      <c r="AJ908" s="22">
        <v>31.54655</v>
      </c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4"/>
      <c r="BA908" s="4"/>
      <c r="BB908" s="4"/>
      <c r="BC908" s="22"/>
      <c r="BD908" s="22"/>
      <c r="BE908" s="22"/>
      <c r="BF908" s="22">
        <v>185.04432</v>
      </c>
      <c r="BG908" s="22">
        <v>115.58196</v>
      </c>
      <c r="BH908" s="22"/>
      <c r="BI908" s="22"/>
      <c r="BJ908" s="22"/>
      <c r="BK908" s="22"/>
      <c r="BL908" s="22"/>
      <c r="BM908" s="22"/>
      <c r="BN908" s="22"/>
      <c r="BO908" s="4"/>
      <c r="BP908" s="4"/>
      <c r="BQ908" s="4"/>
      <c r="BR908" s="4"/>
      <c r="BS908" s="4"/>
      <c r="BT908" s="22"/>
      <c r="BU908" s="24"/>
    </row>
    <row r="909" spans="1:73" ht="73.5" customHeight="1" outlineLevel="2">
      <c r="A909" s="26" t="s">
        <v>271</v>
      </c>
      <c r="B909" s="27" t="s">
        <v>282</v>
      </c>
      <c r="C909" s="39">
        <f t="shared" si="150"/>
        <v>23.571259999999995</v>
      </c>
      <c r="D909" s="1">
        <f t="shared" si="148"/>
        <v>14.531839999999999</v>
      </c>
      <c r="E909" s="1">
        <f t="shared" si="149"/>
        <v>9.039419999999998</v>
      </c>
      <c r="F909" s="22"/>
      <c r="G909" s="22"/>
      <c r="H909" s="22"/>
      <c r="I909" s="22"/>
      <c r="J909" s="22"/>
      <c r="K909" s="22"/>
      <c r="L909" s="22"/>
      <c r="M909" s="22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22"/>
      <c r="AA909" s="22"/>
      <c r="AB909" s="23"/>
      <c r="AC909" s="4"/>
      <c r="AD909" s="85"/>
      <c r="AE909" s="22"/>
      <c r="AF909" s="22"/>
      <c r="AG909" s="22"/>
      <c r="AH909" s="20"/>
      <c r="AI909" s="4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4"/>
      <c r="BA909" s="4"/>
      <c r="BB909" s="4"/>
      <c r="BC909" s="22"/>
      <c r="BD909" s="22"/>
      <c r="BE909" s="22"/>
      <c r="BF909" s="22">
        <f>35.06774-20.5359</f>
        <v>14.531839999999999</v>
      </c>
      <c r="BG909" s="22">
        <f>21.93472-12.8953</f>
        <v>9.039419999999998</v>
      </c>
      <c r="BH909" s="22"/>
      <c r="BI909" s="22"/>
      <c r="BJ909" s="22"/>
      <c r="BK909" s="22"/>
      <c r="BL909" s="22"/>
      <c r="BM909" s="22"/>
      <c r="BN909" s="22"/>
      <c r="BO909" s="4"/>
      <c r="BP909" s="4"/>
      <c r="BQ909" s="4"/>
      <c r="BR909" s="4"/>
      <c r="BS909" s="4"/>
      <c r="BT909" s="22"/>
      <c r="BU909" s="24"/>
    </row>
    <row r="910" spans="1:73" ht="73.5" customHeight="1" outlineLevel="2">
      <c r="A910" s="46" t="s">
        <v>271</v>
      </c>
      <c r="B910" s="86" t="s">
        <v>1064</v>
      </c>
      <c r="C910" s="39">
        <f t="shared" si="150"/>
        <v>33.30961</v>
      </c>
      <c r="D910" s="1">
        <f t="shared" si="148"/>
        <v>20.45809</v>
      </c>
      <c r="E910" s="1">
        <f t="shared" si="149"/>
        <v>12.85152</v>
      </c>
      <c r="F910" s="22"/>
      <c r="G910" s="22"/>
      <c r="H910" s="22"/>
      <c r="I910" s="22"/>
      <c r="J910" s="22"/>
      <c r="K910" s="22"/>
      <c r="L910" s="22"/>
      <c r="M910" s="22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22"/>
      <c r="AA910" s="22"/>
      <c r="AB910" s="4"/>
      <c r="AC910" s="4"/>
      <c r="AD910" s="85"/>
      <c r="AE910" s="22"/>
      <c r="AF910" s="22"/>
      <c r="AG910" s="22"/>
      <c r="AH910" s="20"/>
      <c r="AI910" s="4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4"/>
      <c r="BA910" s="4"/>
      <c r="BB910" s="4"/>
      <c r="BC910" s="22"/>
      <c r="BD910" s="22"/>
      <c r="BE910" s="22"/>
      <c r="BF910" s="22">
        <v>20.45809</v>
      </c>
      <c r="BG910" s="22">
        <v>12.85152</v>
      </c>
      <c r="BH910" s="22"/>
      <c r="BI910" s="22"/>
      <c r="BJ910" s="22"/>
      <c r="BK910" s="22"/>
      <c r="BL910" s="22"/>
      <c r="BM910" s="22"/>
      <c r="BN910" s="22"/>
      <c r="BO910" s="4"/>
      <c r="BP910" s="4"/>
      <c r="BQ910" s="4"/>
      <c r="BR910" s="4"/>
      <c r="BS910" s="4"/>
      <c r="BT910" s="22"/>
      <c r="BU910" s="24"/>
    </row>
    <row r="911" spans="1:73" ht="73.5" customHeight="1" outlineLevel="2">
      <c r="A911" s="46" t="s">
        <v>271</v>
      </c>
      <c r="B911" s="86" t="s">
        <v>1065</v>
      </c>
      <c r="C911" s="39">
        <f t="shared" si="150"/>
        <v>280.77909</v>
      </c>
      <c r="D911" s="1">
        <f t="shared" si="148"/>
        <v>171.78688</v>
      </c>
      <c r="E911" s="1">
        <f t="shared" si="149"/>
        <v>108.99221</v>
      </c>
      <c r="F911" s="22"/>
      <c r="G911" s="22"/>
      <c r="H911" s="22"/>
      <c r="I911" s="22"/>
      <c r="J911" s="22"/>
      <c r="K911" s="22"/>
      <c r="L911" s="22"/>
      <c r="M911" s="22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22"/>
      <c r="AA911" s="22"/>
      <c r="AB911" s="4">
        <v>70.3779</v>
      </c>
      <c r="AC911" s="4">
        <v>39.15934</v>
      </c>
      <c r="AD911" s="85"/>
      <c r="AE911" s="22"/>
      <c r="AF911" s="22"/>
      <c r="AG911" s="22"/>
      <c r="AH911" s="20">
        <v>6.30931</v>
      </c>
      <c r="AI911" s="4"/>
      <c r="AJ911" s="20">
        <v>6.30931</v>
      </c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4"/>
      <c r="BA911" s="4"/>
      <c r="BB911" s="4"/>
      <c r="BC911" s="22"/>
      <c r="BD911" s="22"/>
      <c r="BE911" s="22"/>
      <c r="BF911" s="22">
        <v>101.40898</v>
      </c>
      <c r="BG911" s="22">
        <v>63.52356</v>
      </c>
      <c r="BH911" s="22"/>
      <c r="BI911" s="22"/>
      <c r="BJ911" s="22"/>
      <c r="BK911" s="22"/>
      <c r="BL911" s="22"/>
      <c r="BM911" s="22"/>
      <c r="BN911" s="22"/>
      <c r="BO911" s="4"/>
      <c r="BP911" s="4"/>
      <c r="BQ911" s="4"/>
      <c r="BR911" s="4"/>
      <c r="BS911" s="4"/>
      <c r="BT911" s="22"/>
      <c r="BU911" s="24"/>
    </row>
    <row r="912" spans="1:73" ht="73.5" customHeight="1" outlineLevel="2" thickBot="1">
      <c r="A912" s="44" t="s">
        <v>271</v>
      </c>
      <c r="B912" s="45" t="s">
        <v>750</v>
      </c>
      <c r="C912" s="39">
        <f t="shared" si="150"/>
        <v>6.67577</v>
      </c>
      <c r="D912" s="1">
        <f t="shared" si="148"/>
        <v>4.11301</v>
      </c>
      <c r="E912" s="1">
        <f t="shared" si="149"/>
        <v>2.56276</v>
      </c>
      <c r="F912" s="22"/>
      <c r="G912" s="22"/>
      <c r="H912" s="22"/>
      <c r="I912" s="22"/>
      <c r="J912" s="22"/>
      <c r="K912" s="22"/>
      <c r="L912" s="22"/>
      <c r="M912" s="22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22"/>
      <c r="AA912" s="22"/>
      <c r="AB912" s="23"/>
      <c r="AC912" s="4"/>
      <c r="AD912" s="85"/>
      <c r="AE912" s="22"/>
      <c r="AF912" s="22"/>
      <c r="AG912" s="22"/>
      <c r="AH912" s="20"/>
      <c r="AI912" s="4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4"/>
      <c r="BA912" s="4"/>
      <c r="BB912" s="4"/>
      <c r="BC912" s="22"/>
      <c r="BD912" s="22"/>
      <c r="BE912" s="22"/>
      <c r="BF912" s="22">
        <v>4.11301</v>
      </c>
      <c r="BG912" s="22">
        <v>2.56276</v>
      </c>
      <c r="BH912" s="22"/>
      <c r="BI912" s="22"/>
      <c r="BJ912" s="22"/>
      <c r="BK912" s="22"/>
      <c r="BL912" s="22"/>
      <c r="BM912" s="22"/>
      <c r="BN912" s="22"/>
      <c r="BO912" s="4"/>
      <c r="BP912" s="4"/>
      <c r="BQ912" s="4"/>
      <c r="BR912" s="4"/>
      <c r="BS912" s="4"/>
      <c r="BT912" s="22"/>
      <c r="BU912" s="24"/>
    </row>
    <row r="913" spans="1:74" s="35" customFormat="1" ht="73.5" customHeight="1" outlineLevel="1" thickBot="1">
      <c r="A913" s="29" t="s">
        <v>382</v>
      </c>
      <c r="B913" s="48"/>
      <c r="C913" s="49">
        <f aca="true" t="shared" si="151" ref="C913:BN913">SUBTOTAL(9,C885:C912)</f>
        <v>372049.63972999994</v>
      </c>
      <c r="D913" s="49">
        <f t="shared" si="151"/>
        <v>128254.75544000001</v>
      </c>
      <c r="E913" s="49">
        <f t="shared" si="151"/>
        <v>243794.88429000002</v>
      </c>
      <c r="F913" s="49">
        <f t="shared" si="151"/>
        <v>55648.83014</v>
      </c>
      <c r="G913" s="49">
        <f t="shared" si="151"/>
        <v>73622.50528</v>
      </c>
      <c r="H913" s="49">
        <f t="shared" si="151"/>
        <v>2325.35695</v>
      </c>
      <c r="I913" s="49">
        <f t="shared" si="151"/>
        <v>860.11359</v>
      </c>
      <c r="J913" s="49">
        <f t="shared" si="151"/>
        <v>4358.589860000001</v>
      </c>
      <c r="K913" s="49">
        <f t="shared" si="151"/>
        <v>1046.1119099999999</v>
      </c>
      <c r="L913" s="49">
        <f t="shared" si="151"/>
        <v>9228.300159999999</v>
      </c>
      <c r="M913" s="49">
        <f t="shared" si="151"/>
        <v>45000</v>
      </c>
      <c r="N913" s="49">
        <f t="shared" si="151"/>
        <v>57.94573</v>
      </c>
      <c r="O913" s="49">
        <f t="shared" si="151"/>
        <v>2.84502</v>
      </c>
      <c r="P913" s="49">
        <f t="shared" si="151"/>
        <v>0</v>
      </c>
      <c r="Q913" s="49">
        <f t="shared" si="151"/>
        <v>0</v>
      </c>
      <c r="R913" s="49">
        <f t="shared" si="151"/>
        <v>2814.97802</v>
      </c>
      <c r="S913" s="49">
        <f t="shared" si="151"/>
        <v>5905.68072</v>
      </c>
      <c r="T913" s="49">
        <f t="shared" si="151"/>
        <v>0</v>
      </c>
      <c r="U913" s="49">
        <f t="shared" si="151"/>
        <v>0</v>
      </c>
      <c r="V913" s="49">
        <f t="shared" si="151"/>
        <v>0</v>
      </c>
      <c r="W913" s="49">
        <f t="shared" si="151"/>
        <v>0</v>
      </c>
      <c r="X913" s="49">
        <f t="shared" si="151"/>
        <v>0</v>
      </c>
      <c r="Y913" s="49">
        <f t="shared" si="151"/>
        <v>0</v>
      </c>
      <c r="Z913" s="49">
        <f t="shared" si="151"/>
        <v>2315.93257</v>
      </c>
      <c r="AA913" s="49">
        <f t="shared" si="151"/>
        <v>2549.082500000001</v>
      </c>
      <c r="AB913" s="49">
        <f t="shared" si="151"/>
        <v>7485.771220000001</v>
      </c>
      <c r="AC913" s="49">
        <f t="shared" si="151"/>
        <v>3436.69841</v>
      </c>
      <c r="AD913" s="49">
        <f t="shared" si="151"/>
        <v>1068.22749</v>
      </c>
      <c r="AE913" s="49">
        <f t="shared" si="151"/>
        <v>163.13028</v>
      </c>
      <c r="AF913" s="49">
        <f t="shared" si="151"/>
        <v>0</v>
      </c>
      <c r="AG913" s="49">
        <f t="shared" si="151"/>
        <v>0</v>
      </c>
      <c r="AH913" s="49">
        <f t="shared" si="151"/>
        <v>6190.70017</v>
      </c>
      <c r="AI913" s="49">
        <f t="shared" si="151"/>
        <v>3050.1501000000007</v>
      </c>
      <c r="AJ913" s="49">
        <f t="shared" si="151"/>
        <v>3140.55007</v>
      </c>
      <c r="AK913" s="49">
        <f t="shared" si="151"/>
        <v>0</v>
      </c>
      <c r="AL913" s="49">
        <f t="shared" si="151"/>
        <v>0</v>
      </c>
      <c r="AM913" s="49">
        <f t="shared" si="151"/>
        <v>0</v>
      </c>
      <c r="AN913" s="49">
        <f t="shared" si="151"/>
        <v>0</v>
      </c>
      <c r="AO913" s="49">
        <f t="shared" si="151"/>
        <v>0</v>
      </c>
      <c r="AP913" s="49">
        <f t="shared" si="151"/>
        <v>0</v>
      </c>
      <c r="AQ913" s="49">
        <f t="shared" si="151"/>
        <v>0</v>
      </c>
      <c r="AR913" s="49">
        <f t="shared" si="151"/>
        <v>0</v>
      </c>
      <c r="AS913" s="49">
        <f t="shared" si="151"/>
        <v>0</v>
      </c>
      <c r="AT913" s="49">
        <f t="shared" si="151"/>
        <v>0</v>
      </c>
      <c r="AU913" s="49">
        <f t="shared" si="151"/>
        <v>0</v>
      </c>
      <c r="AV913" s="49">
        <f t="shared" si="151"/>
        <v>0</v>
      </c>
      <c r="AW913" s="49">
        <f t="shared" si="151"/>
        <v>0</v>
      </c>
      <c r="AX913" s="49">
        <f t="shared" si="151"/>
        <v>0</v>
      </c>
      <c r="AY913" s="49">
        <f t="shared" si="151"/>
        <v>17864.57822</v>
      </c>
      <c r="AZ913" s="49">
        <f t="shared" si="151"/>
        <v>13548.255850000001</v>
      </c>
      <c r="BA913" s="49">
        <f t="shared" si="151"/>
        <v>0</v>
      </c>
      <c r="BB913" s="49">
        <f t="shared" si="151"/>
        <v>0</v>
      </c>
      <c r="BC913" s="49">
        <f t="shared" si="151"/>
        <v>34350.71</v>
      </c>
      <c r="BD913" s="49">
        <f t="shared" si="151"/>
        <v>30775.519229999998</v>
      </c>
      <c r="BE913" s="49">
        <f t="shared" si="151"/>
        <v>1596.6276200000002</v>
      </c>
      <c r="BF913" s="49">
        <f t="shared" si="151"/>
        <v>15804.39424</v>
      </c>
      <c r="BG913" s="49">
        <f t="shared" si="151"/>
        <v>9585.47905</v>
      </c>
      <c r="BH913" s="49">
        <f t="shared" si="151"/>
        <v>270</v>
      </c>
      <c r="BI913" s="49">
        <f t="shared" si="151"/>
        <v>460.38996</v>
      </c>
      <c r="BJ913" s="49">
        <f t="shared" si="151"/>
        <v>2712.88554</v>
      </c>
      <c r="BK913" s="49">
        <f t="shared" si="151"/>
        <v>0</v>
      </c>
      <c r="BL913" s="49">
        <f t="shared" si="151"/>
        <v>0</v>
      </c>
      <c r="BM913" s="49">
        <f t="shared" si="151"/>
        <v>0</v>
      </c>
      <c r="BN913" s="49">
        <f t="shared" si="151"/>
        <v>0</v>
      </c>
      <c r="BO913" s="49">
        <f aca="true" t="shared" si="152" ref="BO913:BT913">SUBTOTAL(9,BO885:BO912)</f>
        <v>0</v>
      </c>
      <c r="BP913" s="49">
        <f t="shared" si="152"/>
        <v>0</v>
      </c>
      <c r="BQ913" s="49">
        <f t="shared" si="152"/>
        <v>0</v>
      </c>
      <c r="BR913" s="49">
        <f t="shared" si="152"/>
        <v>0</v>
      </c>
      <c r="BS913" s="2">
        <f t="shared" si="152"/>
        <v>18240.151</v>
      </c>
      <c r="BT913" s="2">
        <f t="shared" si="152"/>
        <v>2759.849</v>
      </c>
      <c r="BU913" s="50"/>
      <c r="BV913" s="34"/>
    </row>
    <row r="914" spans="1:73" ht="73.5" customHeight="1" outlineLevel="2">
      <c r="A914" s="36" t="s">
        <v>383</v>
      </c>
      <c r="B914" s="37" t="s">
        <v>287</v>
      </c>
      <c r="C914" s="39">
        <f>D914+E914</f>
        <v>701.66079</v>
      </c>
      <c r="D914" s="1">
        <f aca="true" t="shared" si="153" ref="D914:D938">F914+J914+N914+R914+T914+Z914+AB914+AD914+AF914+AM914+AO914+AT914+AY914+BF914+BO914+BS914+H914+V914+X914+BQ914+AR914+BH914</f>
        <v>513.91808</v>
      </c>
      <c r="E914" s="1">
        <f aca="true" t="shared" si="154" ref="E914:E938">G914+I914+K914+L914+M914+O914+P914+Q914+S914+U914+W914+Y914+AA914+AC914+AE914+AG914+AH914+AK914+AL914+AN914+AP914+AQ914+AS914+AU914+AV914+AW914+AX914+AZ914+BA914+BB914+BC914+BD914+BE914+BG914+BI914+BJ914+BK914+BL914+BM914+BN914+BU914+BP914+BR914+BT914</f>
        <v>187.74271</v>
      </c>
      <c r="F914" s="40"/>
      <c r="G914" s="40"/>
      <c r="H914" s="40"/>
      <c r="I914" s="40"/>
      <c r="J914" s="40">
        <v>187.10765</v>
      </c>
      <c r="K914" s="40">
        <v>18.63916</v>
      </c>
      <c r="L914" s="40"/>
      <c r="M914" s="40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0"/>
      <c r="AA914" s="40"/>
      <c r="AB914" s="42">
        <v>143.34674</v>
      </c>
      <c r="AC914" s="41">
        <v>54.31028</v>
      </c>
      <c r="AD914" s="40"/>
      <c r="AE914" s="40"/>
      <c r="AF914" s="40"/>
      <c r="AG914" s="40"/>
      <c r="AH914" s="43"/>
      <c r="AI914" s="41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1"/>
      <c r="BA914" s="41"/>
      <c r="BB914" s="41"/>
      <c r="BC914" s="40"/>
      <c r="BD914" s="40"/>
      <c r="BE914" s="40"/>
      <c r="BF914" s="40">
        <v>183.46369</v>
      </c>
      <c r="BG914" s="40">
        <v>114.79327</v>
      </c>
      <c r="BH914" s="40"/>
      <c r="BI914" s="40"/>
      <c r="BJ914" s="40"/>
      <c r="BK914" s="40"/>
      <c r="BL914" s="40"/>
      <c r="BM914" s="40"/>
      <c r="BN914" s="40"/>
      <c r="BO914" s="41"/>
      <c r="BP914" s="41"/>
      <c r="BQ914" s="41"/>
      <c r="BR914" s="41"/>
      <c r="BS914" s="4"/>
      <c r="BT914" s="22"/>
      <c r="BU914" s="24"/>
    </row>
    <row r="915" spans="1:73" ht="73.5" customHeight="1" outlineLevel="2">
      <c r="A915" s="46" t="s">
        <v>383</v>
      </c>
      <c r="B915" s="45" t="s">
        <v>142</v>
      </c>
      <c r="C915" s="39">
        <f aca="true" t="shared" si="155" ref="C915:C938">D915+E915</f>
        <v>21074.61532</v>
      </c>
      <c r="D915" s="1">
        <f t="shared" si="153"/>
        <v>5532.10516</v>
      </c>
      <c r="E915" s="1">
        <f t="shared" si="154"/>
        <v>15542.510160000002</v>
      </c>
      <c r="F915" s="22"/>
      <c r="G915" s="22"/>
      <c r="H915" s="22"/>
      <c r="I915" s="22"/>
      <c r="J915" s="22"/>
      <c r="K915" s="22"/>
      <c r="L915" s="22"/>
      <c r="M915" s="22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22">
        <v>405</v>
      </c>
      <c r="AA915" s="22">
        <v>293.6475</v>
      </c>
      <c r="AB915" s="23">
        <v>1857.96845</v>
      </c>
      <c r="AC915" s="4">
        <v>722.58309</v>
      </c>
      <c r="AD915" s="22"/>
      <c r="AE915" s="22"/>
      <c r="AF915" s="22"/>
      <c r="AG915" s="22"/>
      <c r="AH915" s="20">
        <f>427.23042+20.73059+579.063+10.08644</f>
        <v>1037.1104500000001</v>
      </c>
      <c r="AI915" s="4">
        <v>579.063</v>
      </c>
      <c r="AJ915" s="22">
        <f>AH915-AI915</f>
        <v>458.04745000000014</v>
      </c>
      <c r="AK915" s="22"/>
      <c r="AL915" s="22"/>
      <c r="AM915" s="22"/>
      <c r="AN915" s="22"/>
      <c r="AO915" s="22">
        <v>710.45383</v>
      </c>
      <c r="AP915" s="22">
        <v>327</v>
      </c>
      <c r="AQ915" s="22"/>
      <c r="AR915" s="22"/>
      <c r="AS915" s="22"/>
      <c r="AT915" s="22"/>
      <c r="AU915" s="22"/>
      <c r="AV915" s="22"/>
      <c r="AW915" s="22"/>
      <c r="AX915" s="22">
        <v>2620.8</v>
      </c>
      <c r="AY915" s="22"/>
      <c r="AZ915" s="4"/>
      <c r="BA915" s="4"/>
      <c r="BB915" s="4"/>
      <c r="BC915" s="22"/>
      <c r="BD915" s="22">
        <v>534.443</v>
      </c>
      <c r="BE915" s="22">
        <v>8250</v>
      </c>
      <c r="BF915" s="22">
        <v>2558.68288</v>
      </c>
      <c r="BG915" s="22">
        <v>1598.94407</v>
      </c>
      <c r="BH915" s="22"/>
      <c r="BI915" s="22"/>
      <c r="BJ915" s="22">
        <v>157.98205</v>
      </c>
      <c r="BK915" s="22"/>
      <c r="BL915" s="22"/>
      <c r="BM915" s="22"/>
      <c r="BN915" s="22"/>
      <c r="BO915" s="4"/>
      <c r="BP915" s="4"/>
      <c r="BQ915" s="4"/>
      <c r="BR915" s="4"/>
      <c r="BS915" s="4"/>
      <c r="BT915" s="22"/>
      <c r="BU915" s="24"/>
    </row>
    <row r="916" spans="1:73" ht="73.5" customHeight="1" outlineLevel="2">
      <c r="A916" s="46" t="s">
        <v>383</v>
      </c>
      <c r="B916" s="45" t="s">
        <v>828</v>
      </c>
      <c r="C916" s="39">
        <f>D916+E916</f>
        <v>1287.21415</v>
      </c>
      <c r="D916" s="1">
        <f t="shared" si="153"/>
        <v>864.15341</v>
      </c>
      <c r="E916" s="1">
        <f t="shared" si="154"/>
        <v>423.06074</v>
      </c>
      <c r="F916" s="22"/>
      <c r="G916" s="22"/>
      <c r="H916" s="22"/>
      <c r="I916" s="22"/>
      <c r="J916" s="22"/>
      <c r="K916" s="22"/>
      <c r="L916" s="22"/>
      <c r="M916" s="22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22"/>
      <c r="AA916" s="22"/>
      <c r="AB916" s="23">
        <v>864.15341</v>
      </c>
      <c r="AC916" s="4">
        <v>423.06074</v>
      </c>
      <c r="AD916" s="22"/>
      <c r="AE916" s="22"/>
      <c r="AF916" s="22"/>
      <c r="AG916" s="22"/>
      <c r="AH916" s="20"/>
      <c r="AI916" s="4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4"/>
      <c r="BA916" s="4"/>
      <c r="BB916" s="4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4"/>
      <c r="BP916" s="4"/>
      <c r="BQ916" s="4"/>
      <c r="BR916" s="4"/>
      <c r="BS916" s="4"/>
      <c r="BT916" s="22"/>
      <c r="BU916" s="24"/>
    </row>
    <row r="917" spans="1:73" ht="73.5" customHeight="1" outlineLevel="2">
      <c r="A917" s="46" t="s">
        <v>383</v>
      </c>
      <c r="B917" s="45" t="s">
        <v>326</v>
      </c>
      <c r="C917" s="39">
        <f t="shared" si="155"/>
        <v>266.48402</v>
      </c>
      <c r="D917" s="1">
        <f t="shared" si="153"/>
        <v>169.89706</v>
      </c>
      <c r="E917" s="1">
        <f t="shared" si="154"/>
        <v>96.58695999999999</v>
      </c>
      <c r="F917" s="22"/>
      <c r="G917" s="22"/>
      <c r="H917" s="22"/>
      <c r="I917" s="22"/>
      <c r="J917" s="22"/>
      <c r="K917" s="22"/>
      <c r="L917" s="22"/>
      <c r="M917" s="22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22"/>
      <c r="AA917" s="22"/>
      <c r="AB917" s="23">
        <v>65.07739</v>
      </c>
      <c r="AC917" s="4">
        <v>31.00115</v>
      </c>
      <c r="AD917" s="22"/>
      <c r="AE917" s="22"/>
      <c r="AF917" s="22"/>
      <c r="AG917" s="22"/>
      <c r="AH917" s="20"/>
      <c r="AI917" s="4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4"/>
      <c r="BA917" s="4"/>
      <c r="BB917" s="4"/>
      <c r="BC917" s="22"/>
      <c r="BD917" s="22"/>
      <c r="BE917" s="22"/>
      <c r="BF917" s="22">
        <v>104.81967</v>
      </c>
      <c r="BG917" s="22">
        <v>65.58581</v>
      </c>
      <c r="BH917" s="22"/>
      <c r="BI917" s="22"/>
      <c r="BJ917" s="22"/>
      <c r="BK917" s="22"/>
      <c r="BL917" s="22"/>
      <c r="BM917" s="22"/>
      <c r="BN917" s="22"/>
      <c r="BO917" s="4"/>
      <c r="BP917" s="4"/>
      <c r="BQ917" s="4"/>
      <c r="BR917" s="4"/>
      <c r="BS917" s="4"/>
      <c r="BT917" s="22"/>
      <c r="BU917" s="24"/>
    </row>
    <row r="918" spans="1:73" ht="73.5" customHeight="1" outlineLevel="2">
      <c r="A918" s="44" t="s">
        <v>383</v>
      </c>
      <c r="B918" s="26" t="s">
        <v>191</v>
      </c>
      <c r="C918" s="39">
        <f t="shared" si="155"/>
        <v>3951.32769</v>
      </c>
      <c r="D918" s="1">
        <f t="shared" si="153"/>
        <v>1736.41075</v>
      </c>
      <c r="E918" s="1">
        <f t="shared" si="154"/>
        <v>2214.91694</v>
      </c>
      <c r="F918" s="22"/>
      <c r="G918" s="22"/>
      <c r="H918" s="22"/>
      <c r="I918" s="22"/>
      <c r="J918" s="22">
        <v>727.54246</v>
      </c>
      <c r="K918" s="22">
        <v>167.80584</v>
      </c>
      <c r="L918" s="22"/>
      <c r="M918" s="22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22"/>
      <c r="AA918" s="22">
        <v>47.7495</v>
      </c>
      <c r="AB918" s="23">
        <v>371.12748</v>
      </c>
      <c r="AC918" s="4">
        <v>155.23882</v>
      </c>
      <c r="AD918" s="22"/>
      <c r="AE918" s="22"/>
      <c r="AF918" s="22"/>
      <c r="AG918" s="22"/>
      <c r="AH918" s="20">
        <f>106.35694+137.9253</f>
        <v>244.28224</v>
      </c>
      <c r="AI918" s="4">
        <v>137.9253</v>
      </c>
      <c r="AJ918" s="22">
        <v>106.35694</v>
      </c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4"/>
      <c r="BA918" s="4"/>
      <c r="BB918" s="4"/>
      <c r="BC918" s="22"/>
      <c r="BD918" s="22">
        <f>618.0762+583.5483</f>
        <v>1201.6245</v>
      </c>
      <c r="BE918" s="22"/>
      <c r="BF918" s="22">
        <v>637.74081</v>
      </c>
      <c r="BG918" s="22">
        <v>398.21604</v>
      </c>
      <c r="BH918" s="22"/>
      <c r="BI918" s="22"/>
      <c r="BJ918" s="22"/>
      <c r="BK918" s="22"/>
      <c r="BL918" s="22"/>
      <c r="BM918" s="22"/>
      <c r="BN918" s="22"/>
      <c r="BO918" s="4"/>
      <c r="BP918" s="4"/>
      <c r="BQ918" s="4"/>
      <c r="BR918" s="4"/>
      <c r="BS918" s="4"/>
      <c r="BT918" s="22"/>
      <c r="BU918" s="24"/>
    </row>
    <row r="919" spans="1:73" ht="73.5" customHeight="1" outlineLevel="2">
      <c r="A919" s="44" t="s">
        <v>383</v>
      </c>
      <c r="B919" s="26" t="s">
        <v>393</v>
      </c>
      <c r="C919" s="39">
        <f t="shared" si="155"/>
        <v>1934.44939</v>
      </c>
      <c r="D919" s="1">
        <f t="shared" si="153"/>
        <v>864.02305</v>
      </c>
      <c r="E919" s="1">
        <f t="shared" si="154"/>
        <v>1070.42634</v>
      </c>
      <c r="F919" s="22"/>
      <c r="G919" s="22"/>
      <c r="H919" s="22"/>
      <c r="I919" s="22"/>
      <c r="J919" s="22"/>
      <c r="K919" s="22"/>
      <c r="L919" s="22"/>
      <c r="M919" s="22"/>
      <c r="N919" s="4"/>
      <c r="O919" s="4"/>
      <c r="P919" s="4"/>
      <c r="Q919" s="4"/>
      <c r="R919" s="4">
        <v>38.26744</v>
      </c>
      <c r="S919" s="4">
        <v>43.03178</v>
      </c>
      <c r="T919" s="4"/>
      <c r="U919" s="4"/>
      <c r="V919" s="4"/>
      <c r="W919" s="4"/>
      <c r="X919" s="4"/>
      <c r="Y919" s="4"/>
      <c r="Z919" s="22"/>
      <c r="AA919" s="22">
        <v>47.7495</v>
      </c>
      <c r="AB919" s="23">
        <v>381.84685</v>
      </c>
      <c r="AC919" s="4">
        <v>121.20749</v>
      </c>
      <c r="AD919" s="22"/>
      <c r="AE919" s="22"/>
      <c r="AF919" s="22"/>
      <c r="AG919" s="22"/>
      <c r="AH919" s="20">
        <v>79.31704</v>
      </c>
      <c r="AI919" s="4"/>
      <c r="AJ919" s="22">
        <v>79.31704</v>
      </c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4"/>
      <c r="BA919" s="4"/>
      <c r="BB919" s="4"/>
      <c r="BC919" s="22"/>
      <c r="BD919" s="22">
        <v>265.9188</v>
      </c>
      <c r="BE919" s="22">
        <v>235.81389</v>
      </c>
      <c r="BF919" s="22">
        <v>443.90876</v>
      </c>
      <c r="BG919" s="22">
        <v>277.38784</v>
      </c>
      <c r="BH919" s="22"/>
      <c r="BI919" s="22"/>
      <c r="BJ919" s="22"/>
      <c r="BK919" s="22"/>
      <c r="BL919" s="22"/>
      <c r="BM919" s="22"/>
      <c r="BN919" s="22"/>
      <c r="BO919" s="4"/>
      <c r="BP919" s="4"/>
      <c r="BQ919" s="4"/>
      <c r="BR919" s="4"/>
      <c r="BS919" s="4"/>
      <c r="BT919" s="22"/>
      <c r="BU919" s="24"/>
    </row>
    <row r="920" spans="1:73" ht="73.5" customHeight="1" outlineLevel="2">
      <c r="A920" s="26" t="s">
        <v>383</v>
      </c>
      <c r="B920" s="27" t="s">
        <v>283</v>
      </c>
      <c r="C920" s="39">
        <f t="shared" si="155"/>
        <v>737.9146900000001</v>
      </c>
      <c r="D920" s="1">
        <f t="shared" si="153"/>
        <v>272.56795</v>
      </c>
      <c r="E920" s="1">
        <f t="shared" si="154"/>
        <v>465.34674</v>
      </c>
      <c r="F920" s="22"/>
      <c r="G920" s="22"/>
      <c r="H920" s="22"/>
      <c r="I920" s="22"/>
      <c r="J920" s="22"/>
      <c r="K920" s="22"/>
      <c r="L920" s="22"/>
      <c r="M920" s="22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22"/>
      <c r="AA920" s="22"/>
      <c r="AB920" s="23">
        <v>111.63918</v>
      </c>
      <c r="AC920" s="4">
        <v>46.61826</v>
      </c>
      <c r="AD920" s="22"/>
      <c r="AE920" s="22"/>
      <c r="AF920" s="22"/>
      <c r="AG920" s="22"/>
      <c r="AH920" s="20"/>
      <c r="AI920" s="4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4"/>
      <c r="BA920" s="4"/>
      <c r="BB920" s="4"/>
      <c r="BC920" s="22"/>
      <c r="BD920" s="22">
        <v>318.0618</v>
      </c>
      <c r="BE920" s="22"/>
      <c r="BF920" s="22">
        <v>160.92877</v>
      </c>
      <c r="BG920" s="22">
        <v>100.66668</v>
      </c>
      <c r="BH920" s="22"/>
      <c r="BI920" s="22"/>
      <c r="BJ920" s="22"/>
      <c r="BK920" s="22"/>
      <c r="BL920" s="22"/>
      <c r="BM920" s="22"/>
      <c r="BN920" s="22"/>
      <c r="BO920" s="4"/>
      <c r="BP920" s="4"/>
      <c r="BQ920" s="4"/>
      <c r="BR920" s="4"/>
      <c r="BS920" s="4"/>
      <c r="BT920" s="22"/>
      <c r="BU920" s="24"/>
    </row>
    <row r="921" spans="1:73" ht="73.5" customHeight="1" outlineLevel="2">
      <c r="A921" s="26" t="s">
        <v>383</v>
      </c>
      <c r="B921" s="27" t="s">
        <v>135</v>
      </c>
      <c r="C921" s="39">
        <f t="shared" si="155"/>
        <v>18.625320000000002</v>
      </c>
      <c r="D921" s="1">
        <f t="shared" si="153"/>
        <v>11.46113</v>
      </c>
      <c r="E921" s="1">
        <f t="shared" si="154"/>
        <v>7.16419</v>
      </c>
      <c r="F921" s="22"/>
      <c r="G921" s="22"/>
      <c r="H921" s="22"/>
      <c r="I921" s="22"/>
      <c r="J921" s="22"/>
      <c r="K921" s="22"/>
      <c r="L921" s="22"/>
      <c r="M921" s="22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22"/>
      <c r="AA921" s="22"/>
      <c r="AB921" s="23"/>
      <c r="AC921" s="4"/>
      <c r="AD921" s="22"/>
      <c r="AE921" s="22"/>
      <c r="AF921" s="22"/>
      <c r="AG921" s="22"/>
      <c r="AH921" s="20"/>
      <c r="AI921" s="4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4"/>
      <c r="BA921" s="4"/>
      <c r="BB921" s="4"/>
      <c r="BC921" s="22"/>
      <c r="BD921" s="22"/>
      <c r="BE921" s="22"/>
      <c r="BF921" s="22">
        <v>11.46113</v>
      </c>
      <c r="BG921" s="22">
        <v>7.16419</v>
      </c>
      <c r="BH921" s="22"/>
      <c r="BI921" s="22"/>
      <c r="BJ921" s="22"/>
      <c r="BK921" s="22"/>
      <c r="BL921" s="22"/>
      <c r="BM921" s="22"/>
      <c r="BN921" s="22"/>
      <c r="BO921" s="4"/>
      <c r="BP921" s="4"/>
      <c r="BQ921" s="4"/>
      <c r="BR921" s="4"/>
      <c r="BS921" s="4"/>
      <c r="BT921" s="22"/>
      <c r="BU921" s="24"/>
    </row>
    <row r="922" spans="1:73" ht="73.5" customHeight="1" outlineLevel="2">
      <c r="A922" s="26" t="s">
        <v>383</v>
      </c>
      <c r="B922" s="27" t="s">
        <v>295</v>
      </c>
      <c r="C922" s="39">
        <f t="shared" si="155"/>
        <v>36.47535</v>
      </c>
      <c r="D922" s="1">
        <f t="shared" si="153"/>
        <v>24.01606</v>
      </c>
      <c r="E922" s="1">
        <f t="shared" si="154"/>
        <v>12.45929</v>
      </c>
      <c r="F922" s="22"/>
      <c r="G922" s="22"/>
      <c r="H922" s="22"/>
      <c r="I922" s="22"/>
      <c r="J922" s="22"/>
      <c r="K922" s="22"/>
      <c r="L922" s="22"/>
      <c r="M922" s="22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22"/>
      <c r="AA922" s="22"/>
      <c r="AB922" s="23">
        <v>10.8231</v>
      </c>
      <c r="AC922" s="4">
        <v>4.19564</v>
      </c>
      <c r="AD922" s="22"/>
      <c r="AE922" s="22"/>
      <c r="AF922" s="22"/>
      <c r="AG922" s="22"/>
      <c r="AH922" s="20"/>
      <c r="AI922" s="4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4"/>
      <c r="BA922" s="4"/>
      <c r="BB922" s="4"/>
      <c r="BC922" s="22"/>
      <c r="BD922" s="22"/>
      <c r="BE922" s="22"/>
      <c r="BF922" s="22">
        <v>13.19296</v>
      </c>
      <c r="BG922" s="22">
        <v>8.26365</v>
      </c>
      <c r="BH922" s="22"/>
      <c r="BI922" s="22"/>
      <c r="BJ922" s="22"/>
      <c r="BK922" s="22"/>
      <c r="BL922" s="22"/>
      <c r="BM922" s="22"/>
      <c r="BN922" s="22"/>
      <c r="BO922" s="4"/>
      <c r="BP922" s="4"/>
      <c r="BQ922" s="4"/>
      <c r="BR922" s="4"/>
      <c r="BS922" s="4"/>
      <c r="BT922" s="22"/>
      <c r="BU922" s="24"/>
    </row>
    <row r="923" spans="1:73" ht="73.5" customHeight="1" outlineLevel="2">
      <c r="A923" s="26" t="s">
        <v>383</v>
      </c>
      <c r="B923" s="27" t="s">
        <v>296</v>
      </c>
      <c r="C923" s="39">
        <f t="shared" si="155"/>
        <v>465.7094</v>
      </c>
      <c r="D923" s="1">
        <f t="shared" si="153"/>
        <v>228.72586</v>
      </c>
      <c r="E923" s="1">
        <f t="shared" si="154"/>
        <v>236.98354</v>
      </c>
      <c r="F923" s="22"/>
      <c r="G923" s="22"/>
      <c r="H923" s="22"/>
      <c r="I923" s="22"/>
      <c r="J923" s="22">
        <v>63.15908</v>
      </c>
      <c r="K923" s="22">
        <v>23.78285</v>
      </c>
      <c r="L923" s="22"/>
      <c r="M923" s="22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22"/>
      <c r="AA923" s="22"/>
      <c r="AB923" s="23">
        <v>55.92736</v>
      </c>
      <c r="AC923" s="4">
        <v>31.00115</v>
      </c>
      <c r="AD923" s="22"/>
      <c r="AE923" s="22"/>
      <c r="AF923" s="22"/>
      <c r="AG923" s="22"/>
      <c r="AH923" s="20"/>
      <c r="AI923" s="4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4"/>
      <c r="BA923" s="4"/>
      <c r="BB923" s="4"/>
      <c r="BC923" s="22"/>
      <c r="BD923" s="22">
        <v>113.63275</v>
      </c>
      <c r="BE923" s="22"/>
      <c r="BF923" s="22">
        <v>109.63942</v>
      </c>
      <c r="BG923" s="22">
        <v>68.56679</v>
      </c>
      <c r="BH923" s="22"/>
      <c r="BI923" s="22"/>
      <c r="BJ923" s="22"/>
      <c r="BK923" s="22"/>
      <c r="BL923" s="22"/>
      <c r="BM923" s="22"/>
      <c r="BN923" s="22"/>
      <c r="BO923" s="4"/>
      <c r="BP923" s="4"/>
      <c r="BQ923" s="4"/>
      <c r="BR923" s="4"/>
      <c r="BS923" s="4"/>
      <c r="BT923" s="22"/>
      <c r="BU923" s="24"/>
    </row>
    <row r="924" spans="1:73" ht="73.5" customHeight="1" outlineLevel="2">
      <c r="A924" s="26" t="s">
        <v>383</v>
      </c>
      <c r="B924" s="45" t="s">
        <v>298</v>
      </c>
      <c r="C924" s="39">
        <f t="shared" si="155"/>
        <v>197.19513999999998</v>
      </c>
      <c r="D924" s="1">
        <f t="shared" si="153"/>
        <v>117.29168</v>
      </c>
      <c r="E924" s="1">
        <f t="shared" si="154"/>
        <v>79.90346</v>
      </c>
      <c r="F924" s="22"/>
      <c r="G924" s="22"/>
      <c r="H924" s="22"/>
      <c r="I924" s="22"/>
      <c r="J924" s="22"/>
      <c r="K924" s="22"/>
      <c r="L924" s="22"/>
      <c r="M924" s="22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22"/>
      <c r="AA924" s="22">
        <v>14.337</v>
      </c>
      <c r="AB924" s="23">
        <v>49.88486</v>
      </c>
      <c r="AC924" s="4">
        <v>23.30913</v>
      </c>
      <c r="AD924" s="22"/>
      <c r="AE924" s="22"/>
      <c r="AF924" s="22"/>
      <c r="AG924" s="22"/>
      <c r="AH924" s="20"/>
      <c r="AI924" s="4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4"/>
      <c r="BA924" s="4"/>
      <c r="BB924" s="4"/>
      <c r="BC924" s="22"/>
      <c r="BD924" s="22"/>
      <c r="BE924" s="22"/>
      <c r="BF924" s="22">
        <v>67.40682</v>
      </c>
      <c r="BG924" s="22">
        <v>42.25733</v>
      </c>
      <c r="BH924" s="22"/>
      <c r="BI924" s="22"/>
      <c r="BJ924" s="22"/>
      <c r="BK924" s="22"/>
      <c r="BL924" s="22"/>
      <c r="BM924" s="22"/>
      <c r="BN924" s="22"/>
      <c r="BO924" s="4"/>
      <c r="BP924" s="4"/>
      <c r="BQ924" s="4"/>
      <c r="BR924" s="4"/>
      <c r="BS924" s="4"/>
      <c r="BT924" s="22"/>
      <c r="BU924" s="24"/>
    </row>
    <row r="925" spans="1:73" ht="73.5" customHeight="1" outlineLevel="2">
      <c r="A925" s="26" t="s">
        <v>383</v>
      </c>
      <c r="B925" s="45" t="s">
        <v>815</v>
      </c>
      <c r="C925" s="39">
        <f>D925+E925</f>
        <v>3064.24269</v>
      </c>
      <c r="D925" s="1">
        <f t="shared" si="153"/>
        <v>1543.73065</v>
      </c>
      <c r="E925" s="1">
        <f t="shared" si="154"/>
        <v>1520.51204</v>
      </c>
      <c r="F925" s="22"/>
      <c r="G925" s="22"/>
      <c r="H925" s="22"/>
      <c r="I925" s="22"/>
      <c r="J925" s="22"/>
      <c r="K925" s="22"/>
      <c r="L925" s="22"/>
      <c r="M925" s="22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22"/>
      <c r="AA925" s="22"/>
      <c r="AB925" s="23">
        <v>43.73065</v>
      </c>
      <c r="AC925" s="4">
        <v>20.51204</v>
      </c>
      <c r="AD925" s="22"/>
      <c r="AE925" s="22"/>
      <c r="AF925" s="22"/>
      <c r="AG925" s="22"/>
      <c r="AH925" s="20"/>
      <c r="AI925" s="4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4"/>
      <c r="BA925" s="4"/>
      <c r="BB925" s="4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4">
        <v>1500</v>
      </c>
      <c r="BP925" s="4">
        <v>1500</v>
      </c>
      <c r="BQ925" s="4"/>
      <c r="BR925" s="4"/>
      <c r="BS925" s="4"/>
      <c r="BT925" s="22"/>
      <c r="BU925" s="24"/>
    </row>
    <row r="926" spans="1:73" ht="73.5" customHeight="1" outlineLevel="2">
      <c r="A926" s="26" t="s">
        <v>383</v>
      </c>
      <c r="B926" s="45" t="s">
        <v>816</v>
      </c>
      <c r="C926" s="39">
        <f>D926+E926</f>
        <v>1930.41</v>
      </c>
      <c r="D926" s="1">
        <f t="shared" si="153"/>
        <v>1500</v>
      </c>
      <c r="E926" s="1">
        <f t="shared" si="154"/>
        <v>430.41</v>
      </c>
      <c r="F926" s="22"/>
      <c r="G926" s="22"/>
      <c r="H926" s="22"/>
      <c r="I926" s="22"/>
      <c r="J926" s="22"/>
      <c r="K926" s="22"/>
      <c r="L926" s="22"/>
      <c r="M926" s="22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22"/>
      <c r="AA926" s="22"/>
      <c r="AB926" s="23"/>
      <c r="AC926" s="4"/>
      <c r="AD926" s="22"/>
      <c r="AE926" s="22"/>
      <c r="AF926" s="22"/>
      <c r="AG926" s="22"/>
      <c r="AH926" s="20"/>
      <c r="AI926" s="4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4"/>
      <c r="BA926" s="4"/>
      <c r="BB926" s="4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4">
        <v>1500</v>
      </c>
      <c r="BP926" s="4">
        <v>430.41</v>
      </c>
      <c r="BQ926" s="4"/>
      <c r="BR926" s="4"/>
      <c r="BS926" s="4"/>
      <c r="BT926" s="22"/>
      <c r="BU926" s="24"/>
    </row>
    <row r="927" spans="1:73" ht="73.5" customHeight="1" outlineLevel="2">
      <c r="A927" s="46" t="s">
        <v>383</v>
      </c>
      <c r="B927" s="45" t="s">
        <v>1066</v>
      </c>
      <c r="C927" s="2">
        <f t="shared" si="155"/>
        <v>1472.57955</v>
      </c>
      <c r="D927" s="1">
        <f t="shared" si="153"/>
        <v>269.76216</v>
      </c>
      <c r="E927" s="1">
        <f t="shared" si="154"/>
        <v>1202.81739</v>
      </c>
      <c r="F927" s="22"/>
      <c r="G927" s="22"/>
      <c r="H927" s="22"/>
      <c r="I927" s="22"/>
      <c r="J927" s="22"/>
      <c r="K927" s="22"/>
      <c r="L927" s="22"/>
      <c r="M927" s="22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22">
        <v>26.06368</v>
      </c>
      <c r="AA927" s="22">
        <v>35.8425</v>
      </c>
      <c r="AB927" s="23">
        <v>85.31217</v>
      </c>
      <c r="AC927" s="4">
        <v>44.98662</v>
      </c>
      <c r="AD927" s="22"/>
      <c r="AE927" s="22"/>
      <c r="AF927" s="22"/>
      <c r="AG927" s="22"/>
      <c r="AH927" s="20">
        <v>28.84256</v>
      </c>
      <c r="AI927" s="4"/>
      <c r="AJ927" s="20">
        <v>28.84256</v>
      </c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4"/>
      <c r="BA927" s="4"/>
      <c r="BB927" s="4"/>
      <c r="BC927" s="22"/>
      <c r="BD927" s="22">
        <v>452.9413</v>
      </c>
      <c r="BE927" s="22">
        <v>541.148</v>
      </c>
      <c r="BF927" s="22">
        <v>158.38631</v>
      </c>
      <c r="BG927" s="22">
        <v>99.05641</v>
      </c>
      <c r="BH927" s="22"/>
      <c r="BI927" s="22"/>
      <c r="BJ927" s="22"/>
      <c r="BK927" s="22"/>
      <c r="BL927" s="22"/>
      <c r="BM927" s="22"/>
      <c r="BN927" s="22"/>
      <c r="BO927" s="4"/>
      <c r="BP927" s="4"/>
      <c r="BQ927" s="4"/>
      <c r="BR927" s="4"/>
      <c r="BS927" s="4"/>
      <c r="BT927" s="22"/>
      <c r="BU927" s="24"/>
    </row>
    <row r="928" spans="1:73" ht="73.5" customHeight="1" outlineLevel="2">
      <c r="A928" s="26" t="s">
        <v>383</v>
      </c>
      <c r="B928" s="27" t="s">
        <v>1067</v>
      </c>
      <c r="C928" s="2">
        <f t="shared" si="155"/>
        <v>99.71838</v>
      </c>
      <c r="D928" s="1">
        <f t="shared" si="153"/>
        <v>63.57484</v>
      </c>
      <c r="E928" s="1">
        <f t="shared" si="154"/>
        <v>36.14354</v>
      </c>
      <c r="F928" s="22"/>
      <c r="G928" s="22"/>
      <c r="H928" s="22"/>
      <c r="I928" s="22"/>
      <c r="J928" s="22"/>
      <c r="K928" s="22"/>
      <c r="L928" s="22"/>
      <c r="M928" s="22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22"/>
      <c r="AA928" s="22"/>
      <c r="AB928" s="23">
        <v>24.43839</v>
      </c>
      <c r="AC928" s="4">
        <v>11.65457</v>
      </c>
      <c r="AD928" s="22"/>
      <c r="AE928" s="22"/>
      <c r="AF928" s="22"/>
      <c r="AG928" s="22"/>
      <c r="AH928" s="20"/>
      <c r="AI928" s="4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4"/>
      <c r="BA928" s="4"/>
      <c r="BB928" s="4"/>
      <c r="BC928" s="22"/>
      <c r="BD928" s="22"/>
      <c r="BE928" s="22"/>
      <c r="BF928" s="22">
        <v>39.13645</v>
      </c>
      <c r="BG928" s="22">
        <v>24.48897</v>
      </c>
      <c r="BH928" s="22"/>
      <c r="BI928" s="22"/>
      <c r="BJ928" s="22"/>
      <c r="BK928" s="22"/>
      <c r="BL928" s="22"/>
      <c r="BM928" s="22"/>
      <c r="BN928" s="22"/>
      <c r="BO928" s="4"/>
      <c r="BP928" s="4"/>
      <c r="BQ928" s="4"/>
      <c r="BR928" s="4"/>
      <c r="BS928" s="4"/>
      <c r="BT928" s="22"/>
      <c r="BU928" s="24"/>
    </row>
    <row r="929" spans="1:73" ht="73.5" customHeight="1" outlineLevel="2">
      <c r="A929" s="26" t="s">
        <v>383</v>
      </c>
      <c r="B929" s="26" t="s">
        <v>566</v>
      </c>
      <c r="C929" s="2">
        <f t="shared" si="155"/>
        <v>109.08590000000001</v>
      </c>
      <c r="D929" s="1">
        <f t="shared" si="153"/>
        <v>74.58838</v>
      </c>
      <c r="E929" s="1">
        <f t="shared" si="154"/>
        <v>34.49752</v>
      </c>
      <c r="F929" s="22"/>
      <c r="G929" s="22"/>
      <c r="H929" s="22"/>
      <c r="I929" s="22"/>
      <c r="J929" s="22"/>
      <c r="K929" s="22"/>
      <c r="L929" s="22"/>
      <c r="M929" s="22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22"/>
      <c r="AA929" s="22"/>
      <c r="AB929" s="23">
        <v>74.58838</v>
      </c>
      <c r="AC929" s="4">
        <v>34.49752</v>
      </c>
      <c r="AD929" s="22"/>
      <c r="AE929" s="22"/>
      <c r="AF929" s="22"/>
      <c r="AG929" s="22"/>
      <c r="AH929" s="20"/>
      <c r="AI929" s="4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4"/>
      <c r="BA929" s="4"/>
      <c r="BB929" s="4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4"/>
      <c r="BP929" s="4"/>
      <c r="BQ929" s="4"/>
      <c r="BR929" s="4"/>
      <c r="BS929" s="4"/>
      <c r="BT929" s="22"/>
      <c r="BU929" s="24"/>
    </row>
    <row r="930" spans="1:73" ht="73.5" customHeight="1" outlineLevel="2">
      <c r="A930" s="26" t="s">
        <v>383</v>
      </c>
      <c r="B930" s="45" t="s">
        <v>217</v>
      </c>
      <c r="C930" s="2">
        <f t="shared" si="155"/>
        <v>163.70665</v>
      </c>
      <c r="D930" s="1">
        <f t="shared" si="153"/>
        <v>106.3929</v>
      </c>
      <c r="E930" s="1">
        <f t="shared" si="154"/>
        <v>57.31375</v>
      </c>
      <c r="F930" s="22"/>
      <c r="G930" s="22"/>
      <c r="H930" s="22"/>
      <c r="I930" s="22"/>
      <c r="J930" s="22"/>
      <c r="K930" s="22"/>
      <c r="L930" s="22"/>
      <c r="M930" s="22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22"/>
      <c r="AA930" s="22"/>
      <c r="AB930" s="23">
        <v>57.63116</v>
      </c>
      <c r="AC930" s="4">
        <v>26.8055</v>
      </c>
      <c r="AD930" s="22"/>
      <c r="AE930" s="22"/>
      <c r="AF930" s="22"/>
      <c r="AG930" s="22"/>
      <c r="AH930" s="20"/>
      <c r="AI930" s="4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4"/>
      <c r="BA930" s="4"/>
      <c r="BB930" s="4"/>
      <c r="BC930" s="22"/>
      <c r="BD930" s="22"/>
      <c r="BE930" s="22"/>
      <c r="BF930" s="22">
        <v>48.76174</v>
      </c>
      <c r="BG930" s="22">
        <v>30.50825</v>
      </c>
      <c r="BH930" s="22"/>
      <c r="BI930" s="22"/>
      <c r="BJ930" s="22"/>
      <c r="BK930" s="22"/>
      <c r="BL930" s="22"/>
      <c r="BM930" s="22"/>
      <c r="BN930" s="22"/>
      <c r="BO930" s="4"/>
      <c r="BP930" s="4"/>
      <c r="BQ930" s="4"/>
      <c r="BR930" s="4"/>
      <c r="BS930" s="4"/>
      <c r="BT930" s="22"/>
      <c r="BU930" s="24"/>
    </row>
    <row r="931" spans="1:73" ht="73.5" customHeight="1" outlineLevel="2">
      <c r="A931" s="26" t="s">
        <v>383</v>
      </c>
      <c r="B931" s="45" t="s">
        <v>510</v>
      </c>
      <c r="C931" s="2">
        <f t="shared" si="155"/>
        <v>21.92503</v>
      </c>
      <c r="D931" s="1">
        <f t="shared" si="153"/>
        <v>14.209420000000001</v>
      </c>
      <c r="E931" s="1">
        <f t="shared" si="154"/>
        <v>7.71561</v>
      </c>
      <c r="F931" s="22"/>
      <c r="G931" s="22"/>
      <c r="H931" s="22"/>
      <c r="I931" s="22"/>
      <c r="J931" s="22"/>
      <c r="K931" s="22"/>
      <c r="L931" s="22"/>
      <c r="M931" s="22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22"/>
      <c r="AA931" s="22"/>
      <c r="AB931" s="23">
        <v>5.59489</v>
      </c>
      <c r="AC931" s="4">
        <v>2.33091</v>
      </c>
      <c r="AD931" s="22"/>
      <c r="AE931" s="22"/>
      <c r="AF931" s="22"/>
      <c r="AG931" s="22"/>
      <c r="AH931" s="20"/>
      <c r="AI931" s="4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4"/>
      <c r="BA931" s="4"/>
      <c r="BB931" s="4"/>
      <c r="BC931" s="22"/>
      <c r="BD931" s="22"/>
      <c r="BE931" s="22"/>
      <c r="BF931" s="22">
        <v>8.61453</v>
      </c>
      <c r="BG931" s="22">
        <v>5.3847</v>
      </c>
      <c r="BH931" s="22"/>
      <c r="BI931" s="22"/>
      <c r="BJ931" s="22"/>
      <c r="BK931" s="22"/>
      <c r="BL931" s="22"/>
      <c r="BM931" s="22"/>
      <c r="BN931" s="22"/>
      <c r="BO931" s="4"/>
      <c r="BP931" s="4"/>
      <c r="BQ931" s="4"/>
      <c r="BR931" s="4"/>
      <c r="BS931" s="4"/>
      <c r="BT931" s="22"/>
      <c r="BU931" s="24"/>
    </row>
    <row r="932" spans="1:73" ht="73.5" customHeight="1" outlineLevel="2">
      <c r="A932" s="26" t="s">
        <v>383</v>
      </c>
      <c r="B932" s="45" t="s">
        <v>825</v>
      </c>
      <c r="C932" s="2">
        <f>D932+E932</f>
        <v>63.24177</v>
      </c>
      <c r="D932" s="1">
        <f t="shared" si="153"/>
        <v>34.33845</v>
      </c>
      <c r="E932" s="1">
        <f t="shared" si="154"/>
        <v>28.90332</v>
      </c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22"/>
      <c r="AA932" s="22"/>
      <c r="AB932" s="23">
        <v>34.33845</v>
      </c>
      <c r="AC932" s="4">
        <v>28.90332</v>
      </c>
      <c r="AD932" s="22"/>
      <c r="AE932" s="22"/>
      <c r="AF932" s="22"/>
      <c r="AG932" s="22"/>
      <c r="AH932" s="20"/>
      <c r="AI932" s="4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4"/>
      <c r="BA932" s="4"/>
      <c r="BB932" s="4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4"/>
      <c r="BP932" s="4"/>
      <c r="BQ932" s="4"/>
      <c r="BR932" s="4"/>
      <c r="BS932" s="4"/>
      <c r="BT932" s="22"/>
      <c r="BU932" s="24"/>
    </row>
    <row r="933" spans="1:73" ht="73.5" customHeight="1" outlineLevel="2">
      <c r="A933" s="26" t="s">
        <v>383</v>
      </c>
      <c r="B933" s="45" t="s">
        <v>826</v>
      </c>
      <c r="C933" s="2">
        <f>D933+E933</f>
        <v>81.46077</v>
      </c>
      <c r="D933" s="1">
        <f t="shared" si="153"/>
        <v>58.15164</v>
      </c>
      <c r="E933" s="1">
        <f t="shared" si="154"/>
        <v>23.30913</v>
      </c>
      <c r="F933" s="22"/>
      <c r="G933" s="22"/>
      <c r="H933" s="22"/>
      <c r="I933" s="22"/>
      <c r="J933" s="22"/>
      <c r="K933" s="22"/>
      <c r="L933" s="22"/>
      <c r="M933" s="22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22"/>
      <c r="AA933" s="22"/>
      <c r="AB933" s="23">
        <v>58.15164</v>
      </c>
      <c r="AC933" s="4">
        <v>23.30913</v>
      </c>
      <c r="AD933" s="22"/>
      <c r="AE933" s="22"/>
      <c r="AF933" s="22"/>
      <c r="AG933" s="22"/>
      <c r="AH933" s="20"/>
      <c r="AI933" s="4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4"/>
      <c r="BA933" s="4"/>
      <c r="BB933" s="4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4"/>
      <c r="BP933" s="4"/>
      <c r="BQ933" s="4"/>
      <c r="BR933" s="4"/>
      <c r="BS933" s="4"/>
      <c r="BT933" s="22"/>
      <c r="BU933" s="24"/>
    </row>
    <row r="934" spans="1:73" ht="73.5" customHeight="1" outlineLevel="2">
      <c r="A934" s="26" t="s">
        <v>383</v>
      </c>
      <c r="B934" s="45" t="s">
        <v>827</v>
      </c>
      <c r="C934" s="2">
        <f>D934+E934</f>
        <v>29.98888</v>
      </c>
      <c r="D934" s="1">
        <f t="shared" si="153"/>
        <v>20.66523</v>
      </c>
      <c r="E934" s="1">
        <f t="shared" si="154"/>
        <v>9.32365</v>
      </c>
      <c r="F934" s="22"/>
      <c r="G934" s="22"/>
      <c r="H934" s="22"/>
      <c r="I934" s="22"/>
      <c r="J934" s="22"/>
      <c r="K934" s="22"/>
      <c r="L934" s="22"/>
      <c r="M934" s="22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22"/>
      <c r="AA934" s="22"/>
      <c r="AB934" s="23">
        <v>20.66523</v>
      </c>
      <c r="AC934" s="4">
        <v>9.32365</v>
      </c>
      <c r="AD934" s="22"/>
      <c r="AE934" s="22"/>
      <c r="AF934" s="22"/>
      <c r="AG934" s="22"/>
      <c r="AH934" s="20"/>
      <c r="AI934" s="4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4"/>
      <c r="BA934" s="4"/>
      <c r="BB934" s="4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4"/>
      <c r="BP934" s="4"/>
      <c r="BQ934" s="4"/>
      <c r="BR934" s="4"/>
      <c r="BS934" s="4"/>
      <c r="BT934" s="22"/>
      <c r="BU934" s="24"/>
    </row>
    <row r="935" spans="1:73" ht="73.5" customHeight="1" outlineLevel="2">
      <c r="A935" s="46" t="s">
        <v>383</v>
      </c>
      <c r="B935" s="45" t="s">
        <v>1068</v>
      </c>
      <c r="C935" s="2">
        <f t="shared" si="155"/>
        <v>49.73191</v>
      </c>
      <c r="D935" s="1">
        <f t="shared" si="153"/>
        <v>30.58724</v>
      </c>
      <c r="E935" s="1">
        <f t="shared" si="154"/>
        <v>19.14467</v>
      </c>
      <c r="F935" s="22"/>
      <c r="G935" s="22"/>
      <c r="H935" s="22"/>
      <c r="I935" s="22"/>
      <c r="J935" s="22"/>
      <c r="K935" s="22"/>
      <c r="L935" s="22"/>
      <c r="M935" s="22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22"/>
      <c r="AA935" s="22"/>
      <c r="AB935" s="23"/>
      <c r="AC935" s="4"/>
      <c r="AD935" s="22"/>
      <c r="AE935" s="22"/>
      <c r="AF935" s="22"/>
      <c r="AG935" s="22"/>
      <c r="AH935" s="20"/>
      <c r="AI935" s="4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4"/>
      <c r="BA935" s="4"/>
      <c r="BB935" s="4"/>
      <c r="BC935" s="22"/>
      <c r="BD935" s="22"/>
      <c r="BE935" s="22"/>
      <c r="BF935" s="22">
        <v>30.58724</v>
      </c>
      <c r="BG935" s="22">
        <v>19.14467</v>
      </c>
      <c r="BH935" s="22"/>
      <c r="BI935" s="22"/>
      <c r="BJ935" s="22"/>
      <c r="BK935" s="22"/>
      <c r="BL935" s="22"/>
      <c r="BM935" s="22"/>
      <c r="BN935" s="22"/>
      <c r="BO935" s="4"/>
      <c r="BP935" s="4"/>
      <c r="BQ935" s="4"/>
      <c r="BR935" s="4"/>
      <c r="BS935" s="4"/>
      <c r="BT935" s="22"/>
      <c r="BU935" s="24"/>
    </row>
    <row r="936" spans="1:73" ht="73.5" customHeight="1" outlineLevel="2">
      <c r="A936" s="26" t="s">
        <v>383</v>
      </c>
      <c r="B936" s="45" t="s">
        <v>297</v>
      </c>
      <c r="C936" s="2">
        <f t="shared" si="155"/>
        <v>214.08968000000002</v>
      </c>
      <c r="D936" s="1">
        <f t="shared" si="153"/>
        <v>138.18745</v>
      </c>
      <c r="E936" s="1">
        <f t="shared" si="154"/>
        <v>75.90223</v>
      </c>
      <c r="F936" s="22"/>
      <c r="G936" s="22"/>
      <c r="H936" s="22"/>
      <c r="I936" s="22"/>
      <c r="J936" s="22"/>
      <c r="K936" s="22"/>
      <c r="L936" s="22"/>
      <c r="M936" s="22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22"/>
      <c r="AA936" s="22"/>
      <c r="AB936" s="23">
        <v>54.0694</v>
      </c>
      <c r="AC936" s="4">
        <v>23.30913</v>
      </c>
      <c r="AD936" s="22"/>
      <c r="AE936" s="22"/>
      <c r="AF936" s="22"/>
      <c r="AG936" s="22"/>
      <c r="AH936" s="20"/>
      <c r="AI936" s="4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4"/>
      <c r="BA936" s="4"/>
      <c r="BB936" s="4"/>
      <c r="BC936" s="22"/>
      <c r="BD936" s="22"/>
      <c r="BE936" s="22"/>
      <c r="BF936" s="22">
        <v>84.11805</v>
      </c>
      <c r="BG936" s="22">
        <v>52.5931</v>
      </c>
      <c r="BH936" s="22"/>
      <c r="BI936" s="22"/>
      <c r="BJ936" s="22"/>
      <c r="BK936" s="22"/>
      <c r="BL936" s="22"/>
      <c r="BM936" s="22"/>
      <c r="BN936" s="22"/>
      <c r="BO936" s="4"/>
      <c r="BP936" s="4"/>
      <c r="BQ936" s="4"/>
      <c r="BR936" s="4"/>
      <c r="BS936" s="4"/>
      <c r="BT936" s="22"/>
      <c r="BU936" s="24"/>
    </row>
    <row r="937" spans="1:73" ht="73.5" customHeight="1" outlineLevel="2">
      <c r="A937" s="26" t="s">
        <v>383</v>
      </c>
      <c r="B937" s="45" t="s">
        <v>299</v>
      </c>
      <c r="C937" s="2">
        <f t="shared" si="155"/>
        <v>19.96091</v>
      </c>
      <c r="D937" s="1">
        <f t="shared" si="153"/>
        <v>12.27467</v>
      </c>
      <c r="E937" s="1">
        <f t="shared" si="154"/>
        <v>7.68624</v>
      </c>
      <c r="F937" s="22"/>
      <c r="G937" s="22"/>
      <c r="H937" s="22"/>
      <c r="I937" s="22"/>
      <c r="J937" s="22"/>
      <c r="K937" s="22"/>
      <c r="L937" s="22"/>
      <c r="M937" s="22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22"/>
      <c r="AA937" s="22"/>
      <c r="AB937" s="23"/>
      <c r="AC937" s="4"/>
      <c r="AD937" s="22"/>
      <c r="AE937" s="22"/>
      <c r="AF937" s="22"/>
      <c r="AG937" s="22"/>
      <c r="AH937" s="20"/>
      <c r="AI937" s="4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4"/>
      <c r="BA937" s="4"/>
      <c r="BB937" s="4"/>
      <c r="BC937" s="22"/>
      <c r="BD937" s="22"/>
      <c r="BE937" s="22"/>
      <c r="BF937" s="22">
        <v>12.27467</v>
      </c>
      <c r="BG937" s="22">
        <v>7.68624</v>
      </c>
      <c r="BH937" s="22"/>
      <c r="BI937" s="22"/>
      <c r="BJ937" s="22"/>
      <c r="BK937" s="22"/>
      <c r="BL937" s="22"/>
      <c r="BM937" s="22"/>
      <c r="BN937" s="22"/>
      <c r="BO937" s="4"/>
      <c r="BP937" s="4"/>
      <c r="BQ937" s="4"/>
      <c r="BR937" s="4"/>
      <c r="BS937" s="4"/>
      <c r="BT937" s="22"/>
      <c r="BU937" s="24"/>
    </row>
    <row r="938" spans="1:73" ht="73.5" customHeight="1" outlineLevel="2">
      <c r="A938" s="46" t="s">
        <v>383</v>
      </c>
      <c r="B938" s="45" t="s">
        <v>228</v>
      </c>
      <c r="C938" s="2">
        <f t="shared" si="155"/>
        <v>73.8606</v>
      </c>
      <c r="D938" s="1">
        <f t="shared" si="153"/>
        <v>0</v>
      </c>
      <c r="E938" s="1">
        <f t="shared" si="154"/>
        <v>73.8606</v>
      </c>
      <c r="F938" s="22"/>
      <c r="G938" s="22"/>
      <c r="H938" s="22"/>
      <c r="I938" s="22"/>
      <c r="J938" s="22"/>
      <c r="K938" s="22"/>
      <c r="L938" s="22"/>
      <c r="M938" s="22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22"/>
      <c r="AA938" s="22"/>
      <c r="AB938" s="4"/>
      <c r="AC938" s="4"/>
      <c r="AD938" s="22"/>
      <c r="AE938" s="22"/>
      <c r="AF938" s="22"/>
      <c r="AG938" s="22"/>
      <c r="AH938" s="20"/>
      <c r="AI938" s="4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4"/>
      <c r="BA938" s="4"/>
      <c r="BB938" s="4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>
        <v>73.8606</v>
      </c>
      <c r="BN938" s="22"/>
      <c r="BO938" s="4"/>
      <c r="BP938" s="4"/>
      <c r="BQ938" s="4"/>
      <c r="BR938" s="4"/>
      <c r="BS938" s="4"/>
      <c r="BT938" s="22"/>
      <c r="BU938" s="24"/>
    </row>
    <row r="939" spans="1:74" s="88" customFormat="1" ht="73.5" customHeight="1" outlineLevel="1">
      <c r="A939" s="76" t="s">
        <v>229</v>
      </c>
      <c r="B939" s="77"/>
      <c r="C939" s="2">
        <f aca="true" t="shared" si="156" ref="C939:BN939">SUBTOTAL(9,C914:C938)</f>
        <v>38065.67398</v>
      </c>
      <c r="D939" s="2">
        <f t="shared" si="156"/>
        <v>14201.03322</v>
      </c>
      <c r="E939" s="2">
        <f t="shared" si="156"/>
        <v>23864.640760000013</v>
      </c>
      <c r="F939" s="2">
        <f t="shared" si="156"/>
        <v>0</v>
      </c>
      <c r="G939" s="2">
        <f t="shared" si="156"/>
        <v>0</v>
      </c>
      <c r="H939" s="2">
        <f t="shared" si="156"/>
        <v>0</v>
      </c>
      <c r="I939" s="2">
        <f t="shared" si="156"/>
        <v>0</v>
      </c>
      <c r="J939" s="2">
        <f t="shared" si="156"/>
        <v>977.8091900000001</v>
      </c>
      <c r="K939" s="2">
        <f t="shared" si="156"/>
        <v>210.22785</v>
      </c>
      <c r="L939" s="2">
        <f t="shared" si="156"/>
        <v>0</v>
      </c>
      <c r="M939" s="2">
        <f t="shared" si="156"/>
        <v>0</v>
      </c>
      <c r="N939" s="2">
        <f t="shared" si="156"/>
        <v>0</v>
      </c>
      <c r="O939" s="2">
        <f t="shared" si="156"/>
        <v>0</v>
      </c>
      <c r="P939" s="2">
        <f t="shared" si="156"/>
        <v>0</v>
      </c>
      <c r="Q939" s="2">
        <f t="shared" si="156"/>
        <v>0</v>
      </c>
      <c r="R939" s="2">
        <f t="shared" si="156"/>
        <v>38.26744</v>
      </c>
      <c r="S939" s="2">
        <f t="shared" si="156"/>
        <v>43.03178</v>
      </c>
      <c r="T939" s="2">
        <f t="shared" si="156"/>
        <v>0</v>
      </c>
      <c r="U939" s="2">
        <f t="shared" si="156"/>
        <v>0</v>
      </c>
      <c r="V939" s="2">
        <f t="shared" si="156"/>
        <v>0</v>
      </c>
      <c r="W939" s="2">
        <f t="shared" si="156"/>
        <v>0</v>
      </c>
      <c r="X939" s="2">
        <f t="shared" si="156"/>
        <v>0</v>
      </c>
      <c r="Y939" s="2">
        <f t="shared" si="156"/>
        <v>0</v>
      </c>
      <c r="Z939" s="2">
        <f t="shared" si="156"/>
        <v>431.06368</v>
      </c>
      <c r="AA939" s="2">
        <f t="shared" si="156"/>
        <v>439.326</v>
      </c>
      <c r="AB939" s="2">
        <f t="shared" si="156"/>
        <v>4370.3151800000005</v>
      </c>
      <c r="AC939" s="2">
        <f t="shared" si="156"/>
        <v>1838.15814</v>
      </c>
      <c r="AD939" s="2">
        <f t="shared" si="156"/>
        <v>0</v>
      </c>
      <c r="AE939" s="2">
        <f t="shared" si="156"/>
        <v>0</v>
      </c>
      <c r="AF939" s="2">
        <f t="shared" si="156"/>
        <v>0</v>
      </c>
      <c r="AG939" s="2">
        <f t="shared" si="156"/>
        <v>0</v>
      </c>
      <c r="AH939" s="2">
        <f t="shared" si="156"/>
        <v>1389.55229</v>
      </c>
      <c r="AI939" s="2">
        <f t="shared" si="156"/>
        <v>716.9883</v>
      </c>
      <c r="AJ939" s="2">
        <f t="shared" si="156"/>
        <v>672.5639900000002</v>
      </c>
      <c r="AK939" s="2">
        <f t="shared" si="156"/>
        <v>0</v>
      </c>
      <c r="AL939" s="2">
        <f t="shared" si="156"/>
        <v>0</v>
      </c>
      <c r="AM939" s="2">
        <f t="shared" si="156"/>
        <v>0</v>
      </c>
      <c r="AN939" s="2">
        <f t="shared" si="156"/>
        <v>0</v>
      </c>
      <c r="AO939" s="2">
        <f t="shared" si="156"/>
        <v>710.45383</v>
      </c>
      <c r="AP939" s="2">
        <f t="shared" si="156"/>
        <v>327</v>
      </c>
      <c r="AQ939" s="2">
        <f t="shared" si="156"/>
        <v>0</v>
      </c>
      <c r="AR939" s="2">
        <f t="shared" si="156"/>
        <v>0</v>
      </c>
      <c r="AS939" s="2">
        <f t="shared" si="156"/>
        <v>0</v>
      </c>
      <c r="AT939" s="2">
        <f t="shared" si="156"/>
        <v>0</v>
      </c>
      <c r="AU939" s="2">
        <f t="shared" si="156"/>
        <v>0</v>
      </c>
      <c r="AV939" s="2">
        <f t="shared" si="156"/>
        <v>0</v>
      </c>
      <c r="AW939" s="2">
        <f t="shared" si="156"/>
        <v>0</v>
      </c>
      <c r="AX939" s="2">
        <f t="shared" si="156"/>
        <v>2620.8</v>
      </c>
      <c r="AY939" s="2">
        <f t="shared" si="156"/>
        <v>0</v>
      </c>
      <c r="AZ939" s="2">
        <f t="shared" si="156"/>
        <v>0</v>
      </c>
      <c r="BA939" s="2">
        <f t="shared" si="156"/>
        <v>0</v>
      </c>
      <c r="BB939" s="2">
        <f t="shared" si="156"/>
        <v>0</v>
      </c>
      <c r="BC939" s="2">
        <f t="shared" si="156"/>
        <v>0</v>
      </c>
      <c r="BD939" s="2">
        <f t="shared" si="156"/>
        <v>2886.62215</v>
      </c>
      <c r="BE939" s="2">
        <f t="shared" si="156"/>
        <v>9026.961889999999</v>
      </c>
      <c r="BF939" s="2">
        <f t="shared" si="156"/>
        <v>4673.1239</v>
      </c>
      <c r="BG939" s="2">
        <f t="shared" si="156"/>
        <v>2920.70801</v>
      </c>
      <c r="BH939" s="2">
        <f t="shared" si="156"/>
        <v>0</v>
      </c>
      <c r="BI939" s="2">
        <f t="shared" si="156"/>
        <v>0</v>
      </c>
      <c r="BJ939" s="2">
        <f t="shared" si="156"/>
        <v>157.98205</v>
      </c>
      <c r="BK939" s="2">
        <f t="shared" si="156"/>
        <v>0</v>
      </c>
      <c r="BL939" s="2">
        <f t="shared" si="156"/>
        <v>0</v>
      </c>
      <c r="BM939" s="2">
        <f t="shared" si="156"/>
        <v>73.8606</v>
      </c>
      <c r="BN939" s="2">
        <f t="shared" si="156"/>
        <v>0</v>
      </c>
      <c r="BO939" s="2">
        <f aca="true" t="shared" si="157" ref="BO939:BT939">SUBTOTAL(9,BO914:BO938)</f>
        <v>3000</v>
      </c>
      <c r="BP939" s="2">
        <f t="shared" si="157"/>
        <v>1930.41</v>
      </c>
      <c r="BQ939" s="2">
        <f t="shared" si="157"/>
        <v>0</v>
      </c>
      <c r="BR939" s="2">
        <f t="shared" si="157"/>
        <v>0</v>
      </c>
      <c r="BS939" s="2">
        <f t="shared" si="157"/>
        <v>0</v>
      </c>
      <c r="BT939" s="2">
        <f t="shared" si="157"/>
        <v>0</v>
      </c>
      <c r="BU939" s="50"/>
      <c r="BV939" s="87"/>
    </row>
    <row r="940" spans="1:74" s="66" customFormat="1" ht="73.5" customHeight="1" outlineLevel="2">
      <c r="A940" s="46" t="s">
        <v>230</v>
      </c>
      <c r="B940" s="45" t="s">
        <v>231</v>
      </c>
      <c r="C940" s="2">
        <f>D940+E940</f>
        <v>1040.94326</v>
      </c>
      <c r="D940" s="1">
        <f>F940+J940+N940+R940+T940+Z940+AB940+AD940+AF940+AM940+AO940+AT940+AY940+BF940+BO940+BS940+H940+V940+X940+BQ940+AR940+BH940</f>
        <v>117.7256</v>
      </c>
      <c r="E940" s="1">
        <f>G940+I940+K940+L940+M940+O940+P940+Q940+S940+U940+W940+Y940+AA940+AC940+AE940+AG940+AH940+AK940+AL940+AN940+AP940+AQ940+AS940+AU940+AV940+AW940+AX940+AZ940+BA940+BB940+BC940+BD940+BE940+BG940+BI940+BJ940+BK940+BL940+BM940+BN940+BU940+BP940+BR940+BT940</f>
        <v>923.21766</v>
      </c>
      <c r="F940" s="22"/>
      <c r="G940" s="22"/>
      <c r="H940" s="22"/>
      <c r="I940" s="22"/>
      <c r="J940" s="22"/>
      <c r="K940" s="22"/>
      <c r="L940" s="22"/>
      <c r="M940" s="22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22"/>
      <c r="AA940" s="22"/>
      <c r="AB940" s="4"/>
      <c r="AC940" s="4"/>
      <c r="AD940" s="22"/>
      <c r="AE940" s="22"/>
      <c r="AF940" s="22"/>
      <c r="AG940" s="22"/>
      <c r="AH940" s="20"/>
      <c r="AI940" s="4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>
        <v>117.7256</v>
      </c>
      <c r="AZ940" s="4">
        <v>135.71766</v>
      </c>
      <c r="BA940" s="4"/>
      <c r="BB940" s="4">
        <v>787.5</v>
      </c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4"/>
      <c r="BP940" s="4"/>
      <c r="BQ940" s="4"/>
      <c r="BR940" s="4"/>
      <c r="BS940" s="4"/>
      <c r="BT940" s="22"/>
      <c r="BU940" s="24"/>
      <c r="BV940" s="65"/>
    </row>
    <row r="941" spans="1:74" s="88" customFormat="1" ht="73.5" customHeight="1" outlineLevel="1">
      <c r="A941" s="76" t="s">
        <v>23</v>
      </c>
      <c r="B941" s="77"/>
      <c r="C941" s="2">
        <f aca="true" t="shared" si="158" ref="C941:BK941">SUBTOTAL(9,C940:C940)</f>
        <v>1040.94326</v>
      </c>
      <c r="D941" s="2">
        <f t="shared" si="158"/>
        <v>117.7256</v>
      </c>
      <c r="E941" s="2">
        <f t="shared" si="158"/>
        <v>923.21766</v>
      </c>
      <c r="F941" s="2">
        <f t="shared" si="158"/>
        <v>0</v>
      </c>
      <c r="G941" s="2">
        <f t="shared" si="158"/>
        <v>0</v>
      </c>
      <c r="H941" s="2">
        <f t="shared" si="158"/>
        <v>0</v>
      </c>
      <c r="I941" s="2">
        <f t="shared" si="158"/>
        <v>0</v>
      </c>
      <c r="J941" s="2">
        <f t="shared" si="158"/>
        <v>0</v>
      </c>
      <c r="K941" s="2">
        <f t="shared" si="158"/>
        <v>0</v>
      </c>
      <c r="L941" s="2">
        <f t="shared" si="158"/>
        <v>0</v>
      </c>
      <c r="M941" s="2">
        <f t="shared" si="158"/>
        <v>0</v>
      </c>
      <c r="N941" s="2">
        <f t="shared" si="158"/>
        <v>0</v>
      </c>
      <c r="O941" s="2">
        <f t="shared" si="158"/>
        <v>0</v>
      </c>
      <c r="P941" s="2">
        <f t="shared" si="158"/>
        <v>0</v>
      </c>
      <c r="Q941" s="2">
        <f t="shared" si="158"/>
        <v>0</v>
      </c>
      <c r="R941" s="2">
        <f t="shared" si="158"/>
        <v>0</v>
      </c>
      <c r="S941" s="2">
        <f t="shared" si="158"/>
        <v>0</v>
      </c>
      <c r="T941" s="2">
        <f t="shared" si="158"/>
        <v>0</v>
      </c>
      <c r="U941" s="2">
        <f t="shared" si="158"/>
        <v>0</v>
      </c>
      <c r="V941" s="2">
        <f t="shared" si="158"/>
        <v>0</v>
      </c>
      <c r="W941" s="2">
        <f t="shared" si="158"/>
        <v>0</v>
      </c>
      <c r="X941" s="2">
        <f t="shared" si="158"/>
        <v>0</v>
      </c>
      <c r="Y941" s="2">
        <f t="shared" si="158"/>
        <v>0</v>
      </c>
      <c r="Z941" s="2">
        <f t="shared" si="158"/>
        <v>0</v>
      </c>
      <c r="AA941" s="2">
        <f t="shared" si="158"/>
        <v>0</v>
      </c>
      <c r="AB941" s="2">
        <f t="shared" si="158"/>
        <v>0</v>
      </c>
      <c r="AC941" s="2">
        <f t="shared" si="158"/>
        <v>0</v>
      </c>
      <c r="AD941" s="2">
        <f t="shared" si="158"/>
        <v>0</v>
      </c>
      <c r="AE941" s="2">
        <f t="shared" si="158"/>
        <v>0</v>
      </c>
      <c r="AF941" s="2">
        <f t="shared" si="158"/>
        <v>0</v>
      </c>
      <c r="AG941" s="2">
        <f t="shared" si="158"/>
        <v>0</v>
      </c>
      <c r="AH941" s="2">
        <f t="shared" si="158"/>
        <v>0</v>
      </c>
      <c r="AI941" s="2">
        <f t="shared" si="158"/>
        <v>0</v>
      </c>
      <c r="AJ941" s="2">
        <f t="shared" si="158"/>
        <v>0</v>
      </c>
      <c r="AK941" s="2">
        <f t="shared" si="158"/>
        <v>0</v>
      </c>
      <c r="AL941" s="2">
        <f t="shared" si="158"/>
        <v>0</v>
      </c>
      <c r="AM941" s="2">
        <f t="shared" si="158"/>
        <v>0</v>
      </c>
      <c r="AN941" s="2">
        <f t="shared" si="158"/>
        <v>0</v>
      </c>
      <c r="AO941" s="2">
        <f>SUBTOTAL(9,AO940:AO940)</f>
        <v>0</v>
      </c>
      <c r="AP941" s="2">
        <f>SUBTOTAL(9,AP940:AP940)</f>
        <v>0</v>
      </c>
      <c r="AQ941" s="2">
        <f t="shared" si="158"/>
        <v>0</v>
      </c>
      <c r="AR941" s="2">
        <f t="shared" si="158"/>
        <v>0</v>
      </c>
      <c r="AS941" s="2">
        <f t="shared" si="158"/>
        <v>0</v>
      </c>
      <c r="AT941" s="2">
        <f t="shared" si="158"/>
        <v>0</v>
      </c>
      <c r="AU941" s="2">
        <f t="shared" si="158"/>
        <v>0</v>
      </c>
      <c r="AV941" s="2">
        <f t="shared" si="158"/>
        <v>0</v>
      </c>
      <c r="AW941" s="2">
        <f t="shared" si="158"/>
        <v>0</v>
      </c>
      <c r="AX941" s="2">
        <f t="shared" si="158"/>
        <v>0</v>
      </c>
      <c r="AY941" s="2">
        <f t="shared" si="158"/>
        <v>117.7256</v>
      </c>
      <c r="AZ941" s="2">
        <f t="shared" si="158"/>
        <v>135.71766</v>
      </c>
      <c r="BA941" s="2">
        <f t="shared" si="158"/>
        <v>0</v>
      </c>
      <c r="BB941" s="2">
        <f t="shared" si="158"/>
        <v>787.5</v>
      </c>
      <c r="BC941" s="2">
        <f t="shared" si="158"/>
        <v>0</v>
      </c>
      <c r="BD941" s="2">
        <f t="shared" si="158"/>
        <v>0</v>
      </c>
      <c r="BE941" s="2">
        <f t="shared" si="158"/>
        <v>0</v>
      </c>
      <c r="BF941" s="2">
        <f t="shared" si="158"/>
        <v>0</v>
      </c>
      <c r="BG941" s="2">
        <f t="shared" si="158"/>
        <v>0</v>
      </c>
      <c r="BH941" s="2">
        <f t="shared" si="158"/>
        <v>0</v>
      </c>
      <c r="BI941" s="2">
        <f t="shared" si="158"/>
        <v>0</v>
      </c>
      <c r="BJ941" s="2">
        <f t="shared" si="158"/>
        <v>0</v>
      </c>
      <c r="BK941" s="2">
        <f t="shared" si="158"/>
        <v>0</v>
      </c>
      <c r="BL941" s="2">
        <f>SUBTOTAL(9,BL940:BL940)</f>
        <v>0</v>
      </c>
      <c r="BM941" s="2">
        <f aca="true" t="shared" si="159" ref="BM941:BT941">SUBTOTAL(9,BM940:BM940)</f>
        <v>0</v>
      </c>
      <c r="BN941" s="2">
        <f t="shared" si="159"/>
        <v>0</v>
      </c>
      <c r="BO941" s="2">
        <f t="shared" si="159"/>
        <v>0</v>
      </c>
      <c r="BP941" s="2">
        <f>SUBTOTAL(9,BP940:BP940)</f>
        <v>0</v>
      </c>
      <c r="BQ941" s="2">
        <f>SUBTOTAL(9,BQ940:BQ940)</f>
        <v>0</v>
      </c>
      <c r="BR941" s="2">
        <f>SUBTOTAL(9,BR940:BR940)</f>
        <v>0</v>
      </c>
      <c r="BS941" s="2">
        <f t="shared" si="159"/>
        <v>0</v>
      </c>
      <c r="BT941" s="2">
        <f t="shared" si="159"/>
        <v>0</v>
      </c>
      <c r="BU941" s="50"/>
      <c r="BV941" s="87"/>
    </row>
    <row r="942" spans="1:74" s="66" customFormat="1" ht="73.5" customHeight="1" outlineLevel="2">
      <c r="A942" s="46" t="s">
        <v>24</v>
      </c>
      <c r="B942" s="45" t="s">
        <v>162</v>
      </c>
      <c r="C942" s="2">
        <f>D942+E942</f>
        <v>219.79649</v>
      </c>
      <c r="D942" s="1">
        <f aca="true" t="shared" si="160" ref="D942:D952">F942+J942+N942+R942+T942+Z942+AB942+AD942+AF942+AM942+AO942+AT942+AY942+BF942+BO942+BS942+H942+V942+X942+BQ942+AR942+BH942</f>
        <v>169.20969000000002</v>
      </c>
      <c r="E942" s="1">
        <f aca="true" t="shared" si="161" ref="E942:E952">G942+I942+K942+L942+M942+O942+P942+Q942+S942+U942+W942+Y942+AA942+AC942+AE942+AG942+AH942+AK942+AL942+AN942+AP942+AQ942+AS942+AU942+AV942+AW942+AX942+AZ942+BA942+BB942+BC942+BD942+BE942+BG942+BI942+BJ942+BK942+BL942+BM942+BN942+BU942+BP942+BR942+BT942</f>
        <v>50.5868</v>
      </c>
      <c r="F942" s="22"/>
      <c r="G942" s="22"/>
      <c r="H942" s="22"/>
      <c r="I942" s="22"/>
      <c r="J942" s="22"/>
      <c r="K942" s="22"/>
      <c r="L942" s="22"/>
      <c r="M942" s="22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22"/>
      <c r="AA942" s="22"/>
      <c r="AB942" s="23">
        <v>71.05011</v>
      </c>
      <c r="AC942" s="4">
        <v>30.30187</v>
      </c>
      <c r="AD942" s="22"/>
      <c r="AE942" s="22"/>
      <c r="AF942" s="22"/>
      <c r="AG942" s="22"/>
      <c r="AH942" s="20"/>
      <c r="AI942" s="4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4"/>
      <c r="BA942" s="4"/>
      <c r="BB942" s="4"/>
      <c r="BC942" s="22"/>
      <c r="BD942" s="22"/>
      <c r="BE942" s="22"/>
      <c r="BF942" s="22">
        <v>98.15958</v>
      </c>
      <c r="BG942" s="22">
        <v>20.28493</v>
      </c>
      <c r="BH942" s="22"/>
      <c r="BI942" s="22"/>
      <c r="BJ942" s="22"/>
      <c r="BK942" s="22"/>
      <c r="BL942" s="22"/>
      <c r="BM942" s="22"/>
      <c r="BN942" s="22"/>
      <c r="BO942" s="4"/>
      <c r="BP942" s="4"/>
      <c r="BQ942" s="4"/>
      <c r="BR942" s="4"/>
      <c r="BS942" s="4"/>
      <c r="BT942" s="22"/>
      <c r="BU942" s="24"/>
      <c r="BV942" s="65"/>
    </row>
    <row r="943" spans="1:74" s="66" customFormat="1" ht="73.5" customHeight="1" outlineLevel="2">
      <c r="A943" s="46" t="s">
        <v>24</v>
      </c>
      <c r="B943" s="45" t="s">
        <v>11</v>
      </c>
      <c r="C943" s="2">
        <f aca="true" t="shared" si="162" ref="C943:C952">D943+E943</f>
        <v>1636.8300399999998</v>
      </c>
      <c r="D943" s="1">
        <f t="shared" si="160"/>
        <v>1053.05242</v>
      </c>
      <c r="E943" s="1">
        <f t="shared" si="161"/>
        <v>583.77762</v>
      </c>
      <c r="F943" s="22"/>
      <c r="G943" s="22"/>
      <c r="H943" s="22"/>
      <c r="I943" s="22"/>
      <c r="J943" s="22"/>
      <c r="K943" s="22"/>
      <c r="L943" s="22"/>
      <c r="M943" s="22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22"/>
      <c r="AA943" s="22"/>
      <c r="AB943" s="23">
        <v>295.92035</v>
      </c>
      <c r="AC943" s="4">
        <v>116.54566</v>
      </c>
      <c r="AD943" s="22"/>
      <c r="AE943" s="22"/>
      <c r="AF943" s="22"/>
      <c r="AG943" s="22"/>
      <c r="AH943" s="20"/>
      <c r="AI943" s="4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>
        <v>243.92166</v>
      </c>
      <c r="AZ943" s="4">
        <v>146.27127</v>
      </c>
      <c r="BA943" s="4"/>
      <c r="BB943" s="4"/>
      <c r="BC943" s="22"/>
      <c r="BD943" s="22"/>
      <c r="BE943" s="22"/>
      <c r="BF943" s="22">
        <v>513.21041</v>
      </c>
      <c r="BG943" s="22">
        <v>320.96069</v>
      </c>
      <c r="BH943" s="22"/>
      <c r="BI943" s="22"/>
      <c r="BJ943" s="22"/>
      <c r="BK943" s="22"/>
      <c r="BL943" s="22"/>
      <c r="BM943" s="22"/>
      <c r="BN943" s="22"/>
      <c r="BO943" s="4"/>
      <c r="BP943" s="4"/>
      <c r="BQ943" s="4"/>
      <c r="BR943" s="4"/>
      <c r="BS943" s="4"/>
      <c r="BT943" s="22"/>
      <c r="BU943" s="24"/>
      <c r="BV943" s="65"/>
    </row>
    <row r="944" spans="1:74" s="66" customFormat="1" ht="73.5" customHeight="1" outlineLevel="2">
      <c r="A944" s="46" t="s">
        <v>24</v>
      </c>
      <c r="B944" s="45" t="s">
        <v>1069</v>
      </c>
      <c r="C944" s="2">
        <f t="shared" si="162"/>
        <v>2181.2505</v>
      </c>
      <c r="D944" s="1">
        <f t="shared" si="160"/>
        <v>1422.90823</v>
      </c>
      <c r="E944" s="1">
        <f t="shared" si="161"/>
        <v>758.3422700000001</v>
      </c>
      <c r="F944" s="22"/>
      <c r="G944" s="22"/>
      <c r="H944" s="22"/>
      <c r="I944" s="22"/>
      <c r="J944" s="22">
        <v>384.9277</v>
      </c>
      <c r="K944" s="22">
        <v>115.70604</v>
      </c>
      <c r="L944" s="22">
        <v>42.2907</v>
      </c>
      <c r="M944" s="22"/>
      <c r="N944" s="4">
        <f>2.5983</f>
        <v>2.5983</v>
      </c>
      <c r="O944" s="4">
        <f>0.13405</f>
        <v>0.13405</v>
      </c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22"/>
      <c r="AA944" s="22"/>
      <c r="AB944" s="23">
        <v>437.34836</v>
      </c>
      <c r="AC944" s="4">
        <v>167.82575</v>
      </c>
      <c r="AD944" s="22"/>
      <c r="AE944" s="22"/>
      <c r="AF944" s="22"/>
      <c r="AG944" s="22"/>
      <c r="AH944" s="20">
        <v>58.58645</v>
      </c>
      <c r="AI944" s="4"/>
      <c r="AJ944" s="22">
        <v>58.58645</v>
      </c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4"/>
      <c r="BA944" s="4"/>
      <c r="BB944" s="4"/>
      <c r="BC944" s="22"/>
      <c r="BD944" s="22"/>
      <c r="BE944" s="22"/>
      <c r="BF944" s="22">
        <v>598.03387</v>
      </c>
      <c r="BG944" s="22">
        <f>327.55034+46.24894</f>
        <v>373.79928</v>
      </c>
      <c r="BH944" s="22"/>
      <c r="BI944" s="22"/>
      <c r="BJ944" s="22"/>
      <c r="BK944" s="22"/>
      <c r="BL944" s="22"/>
      <c r="BM944" s="22"/>
      <c r="BN944" s="22"/>
      <c r="BO944" s="4"/>
      <c r="BP944" s="4"/>
      <c r="BQ944" s="4"/>
      <c r="BR944" s="4"/>
      <c r="BS944" s="4"/>
      <c r="BT944" s="22"/>
      <c r="BU944" s="24"/>
      <c r="BV944" s="65"/>
    </row>
    <row r="945" spans="1:74" s="66" customFormat="1" ht="73.5" customHeight="1" outlineLevel="2">
      <c r="A945" s="26" t="s">
        <v>24</v>
      </c>
      <c r="B945" s="27" t="s">
        <v>1070</v>
      </c>
      <c r="C945" s="2">
        <f t="shared" si="162"/>
        <v>8.460890000000001</v>
      </c>
      <c r="D945" s="1">
        <f t="shared" si="160"/>
        <v>5.20429</v>
      </c>
      <c r="E945" s="1">
        <f t="shared" si="161"/>
        <v>3.2566</v>
      </c>
      <c r="F945" s="22"/>
      <c r="G945" s="22"/>
      <c r="H945" s="22"/>
      <c r="I945" s="22"/>
      <c r="J945" s="22"/>
      <c r="K945" s="22"/>
      <c r="L945" s="22"/>
      <c r="M945" s="22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22"/>
      <c r="AA945" s="22"/>
      <c r="AB945" s="4"/>
      <c r="AC945" s="4"/>
      <c r="AD945" s="22"/>
      <c r="AE945" s="22"/>
      <c r="AF945" s="22"/>
      <c r="AG945" s="22"/>
      <c r="AH945" s="20"/>
      <c r="AI945" s="4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4"/>
      <c r="BA945" s="4"/>
      <c r="BB945" s="4"/>
      <c r="BC945" s="22"/>
      <c r="BD945" s="22"/>
      <c r="BE945" s="22"/>
      <c r="BF945" s="22">
        <v>5.20429</v>
      </c>
      <c r="BG945" s="22">
        <v>3.2566</v>
      </c>
      <c r="BH945" s="22"/>
      <c r="BI945" s="22"/>
      <c r="BJ945" s="22"/>
      <c r="BK945" s="22"/>
      <c r="BL945" s="22"/>
      <c r="BM945" s="22"/>
      <c r="BN945" s="22"/>
      <c r="BO945" s="4"/>
      <c r="BP945" s="4"/>
      <c r="BQ945" s="4"/>
      <c r="BR945" s="4"/>
      <c r="BS945" s="4"/>
      <c r="BT945" s="22"/>
      <c r="BU945" s="24"/>
      <c r="BV945" s="65"/>
    </row>
    <row r="946" spans="1:73" ht="73.5" customHeight="1" outlineLevel="2">
      <c r="A946" s="26" t="s">
        <v>24</v>
      </c>
      <c r="B946" s="27" t="s">
        <v>1071</v>
      </c>
      <c r="C946" s="2">
        <f t="shared" si="162"/>
        <v>46.22237</v>
      </c>
      <c r="D946" s="1">
        <f t="shared" si="160"/>
        <v>23.76131</v>
      </c>
      <c r="E946" s="1">
        <f t="shared" si="161"/>
        <v>22.46106</v>
      </c>
      <c r="F946" s="22"/>
      <c r="G946" s="22"/>
      <c r="H946" s="22"/>
      <c r="I946" s="22"/>
      <c r="J946" s="22"/>
      <c r="K946" s="22"/>
      <c r="L946" s="22"/>
      <c r="M946" s="22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22"/>
      <c r="AA946" s="22"/>
      <c r="AB946" s="4"/>
      <c r="AC946" s="4"/>
      <c r="AD946" s="22"/>
      <c r="AE946" s="22"/>
      <c r="AF946" s="22"/>
      <c r="AG946" s="22"/>
      <c r="AH946" s="20"/>
      <c r="AI946" s="4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>
        <v>20.10985</v>
      </c>
      <c r="AZ946" s="4">
        <v>20.19639</v>
      </c>
      <c r="BA946" s="4"/>
      <c r="BB946" s="4"/>
      <c r="BC946" s="22"/>
      <c r="BD946" s="22"/>
      <c r="BE946" s="22"/>
      <c r="BF946" s="22">
        <f>12.98596-9.3345</f>
        <v>3.65146</v>
      </c>
      <c r="BG946" s="22">
        <f>8.12617-5.8615</f>
        <v>2.2646699999999997</v>
      </c>
      <c r="BH946" s="22"/>
      <c r="BI946" s="22"/>
      <c r="BJ946" s="22"/>
      <c r="BK946" s="22"/>
      <c r="BL946" s="22"/>
      <c r="BM946" s="22"/>
      <c r="BN946" s="22"/>
      <c r="BO946" s="4"/>
      <c r="BP946" s="4"/>
      <c r="BQ946" s="4"/>
      <c r="BR946" s="4"/>
      <c r="BS946" s="4"/>
      <c r="BT946" s="22"/>
      <c r="BU946" s="24"/>
    </row>
    <row r="947" spans="1:73" ht="73.5" customHeight="1" outlineLevel="2">
      <c r="A947" s="46" t="s">
        <v>24</v>
      </c>
      <c r="B947" s="45" t="s">
        <v>1072</v>
      </c>
      <c r="C947" s="2">
        <f t="shared" si="162"/>
        <v>714.84875</v>
      </c>
      <c r="D947" s="1">
        <f t="shared" si="160"/>
        <v>498.17376</v>
      </c>
      <c r="E947" s="1">
        <f t="shared" si="161"/>
        <v>216.67498999999998</v>
      </c>
      <c r="F947" s="22"/>
      <c r="G947" s="22"/>
      <c r="H947" s="22"/>
      <c r="I947" s="22"/>
      <c r="J947" s="22"/>
      <c r="K947" s="22"/>
      <c r="L947" s="22"/>
      <c r="M947" s="22"/>
      <c r="N947" s="4">
        <v>293.15175</v>
      </c>
      <c r="O947" s="4">
        <v>13.03677</v>
      </c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22"/>
      <c r="AA947" s="22"/>
      <c r="AB947" s="23">
        <v>57.04078</v>
      </c>
      <c r="AC947" s="4">
        <v>23.30913</v>
      </c>
      <c r="AD947" s="22"/>
      <c r="AE947" s="22"/>
      <c r="AF947" s="22"/>
      <c r="AG947" s="22"/>
      <c r="AH947" s="20">
        <f>31.54655+56.212</f>
        <v>87.75855</v>
      </c>
      <c r="AI947" s="4">
        <v>56.212</v>
      </c>
      <c r="AJ947" s="22">
        <v>31.54655</v>
      </c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4"/>
      <c r="BA947" s="4"/>
      <c r="BB947" s="4"/>
      <c r="BC947" s="22"/>
      <c r="BD947" s="22"/>
      <c r="BE947" s="22"/>
      <c r="BF947" s="22">
        <f>157.31573-9.3345</f>
        <v>147.98123</v>
      </c>
      <c r="BG947" s="22">
        <f>98.43204-5.8615</f>
        <v>92.57054</v>
      </c>
      <c r="BH947" s="22"/>
      <c r="BI947" s="22"/>
      <c r="BJ947" s="22"/>
      <c r="BK947" s="22"/>
      <c r="BL947" s="22"/>
      <c r="BM947" s="22"/>
      <c r="BN947" s="22"/>
      <c r="BO947" s="4"/>
      <c r="BP947" s="4"/>
      <c r="BQ947" s="4"/>
      <c r="BR947" s="4"/>
      <c r="BS947" s="4"/>
      <c r="BT947" s="22"/>
      <c r="BU947" s="24"/>
    </row>
    <row r="948" spans="1:73" ht="73.5" customHeight="1" outlineLevel="2">
      <c r="A948" s="46" t="s">
        <v>24</v>
      </c>
      <c r="B948" s="45" t="s">
        <v>131</v>
      </c>
      <c r="C948" s="39">
        <f t="shared" si="162"/>
        <v>41.6</v>
      </c>
      <c r="D948" s="1">
        <f t="shared" si="160"/>
        <v>0</v>
      </c>
      <c r="E948" s="1">
        <f t="shared" si="161"/>
        <v>41.6</v>
      </c>
      <c r="F948" s="22"/>
      <c r="G948" s="22"/>
      <c r="H948" s="22"/>
      <c r="I948" s="22"/>
      <c r="J948" s="22"/>
      <c r="K948" s="22"/>
      <c r="L948" s="22"/>
      <c r="M948" s="22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22"/>
      <c r="AA948" s="22"/>
      <c r="AB948" s="23"/>
      <c r="AC948" s="4"/>
      <c r="AD948" s="22"/>
      <c r="AE948" s="22"/>
      <c r="AF948" s="22"/>
      <c r="AG948" s="22"/>
      <c r="AH948" s="20"/>
      <c r="AI948" s="4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>
        <v>41.6</v>
      </c>
      <c r="AY948" s="22"/>
      <c r="AZ948" s="4"/>
      <c r="BA948" s="4"/>
      <c r="BB948" s="4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4"/>
      <c r="BP948" s="4"/>
      <c r="BQ948" s="4"/>
      <c r="BR948" s="4"/>
      <c r="BS948" s="4"/>
      <c r="BT948" s="22"/>
      <c r="BU948" s="24"/>
    </row>
    <row r="949" spans="1:73" ht="73.5" customHeight="1" outlineLevel="2">
      <c r="A949" s="46" t="s">
        <v>24</v>
      </c>
      <c r="B949" s="45" t="s">
        <v>1073</v>
      </c>
      <c r="C949" s="39">
        <f t="shared" si="162"/>
        <v>8011.99216</v>
      </c>
      <c r="D949" s="1">
        <f t="shared" si="160"/>
        <v>1667.14547</v>
      </c>
      <c r="E949" s="1">
        <f t="shared" si="161"/>
        <v>6344.84669</v>
      </c>
      <c r="F949" s="22"/>
      <c r="G949" s="22"/>
      <c r="H949" s="22"/>
      <c r="I949" s="22"/>
      <c r="J949" s="22">
        <v>135.78245</v>
      </c>
      <c r="K949" s="22">
        <v>45.48366</v>
      </c>
      <c r="L949" s="22"/>
      <c r="M949" s="22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22"/>
      <c r="AA949" s="22"/>
      <c r="AB949" s="23">
        <v>688.30343</v>
      </c>
      <c r="AC949" s="4">
        <v>265.7241</v>
      </c>
      <c r="AD949" s="22"/>
      <c r="AE949" s="22"/>
      <c r="AF949" s="22"/>
      <c r="AG949" s="22"/>
      <c r="AH949" s="20">
        <f>137.90349+198.6422</f>
        <v>336.54569000000004</v>
      </c>
      <c r="AI949" s="4">
        <v>198.6422</v>
      </c>
      <c r="AJ949" s="22">
        <v>137.90349</v>
      </c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4"/>
      <c r="BA949" s="4"/>
      <c r="BB949" s="4"/>
      <c r="BC949" s="22"/>
      <c r="BD949" s="22"/>
      <c r="BE949" s="22"/>
      <c r="BF949" s="22">
        <v>843.05959</v>
      </c>
      <c r="BG949" s="22">
        <v>527.09324</v>
      </c>
      <c r="BH949" s="22"/>
      <c r="BI949" s="22"/>
      <c r="BJ949" s="22"/>
      <c r="BK949" s="22"/>
      <c r="BL949" s="22"/>
      <c r="BM949" s="22"/>
      <c r="BN949" s="22"/>
      <c r="BO949" s="4"/>
      <c r="BP949" s="4"/>
      <c r="BQ949" s="4"/>
      <c r="BR949" s="4"/>
      <c r="BS949" s="4"/>
      <c r="BT949" s="22">
        <v>5170</v>
      </c>
      <c r="BU949" s="24"/>
    </row>
    <row r="950" spans="1:73" ht="73.5" customHeight="1" outlineLevel="2">
      <c r="A950" s="46" t="s">
        <v>24</v>
      </c>
      <c r="B950" s="45" t="s">
        <v>1074</v>
      </c>
      <c r="C950" s="39">
        <f t="shared" si="162"/>
        <v>1968.30339</v>
      </c>
      <c r="D950" s="1">
        <f t="shared" si="160"/>
        <v>1121.4971</v>
      </c>
      <c r="E950" s="1">
        <f t="shared" si="161"/>
        <v>846.80629</v>
      </c>
      <c r="F950" s="22"/>
      <c r="G950" s="22"/>
      <c r="H950" s="22"/>
      <c r="I950" s="22"/>
      <c r="J950" s="22"/>
      <c r="K950" s="22"/>
      <c r="L950" s="22"/>
      <c r="M950" s="22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22">
        <v>24.3261</v>
      </c>
      <c r="AA950" s="22">
        <v>40.7835</v>
      </c>
      <c r="AB950" s="23">
        <v>511.94221</v>
      </c>
      <c r="AC950" s="4">
        <v>201.62399</v>
      </c>
      <c r="AD950" s="22"/>
      <c r="AE950" s="22"/>
      <c r="AF950" s="22"/>
      <c r="AG950" s="22"/>
      <c r="AH950" s="20">
        <f>106.35694+132.3041</f>
        <v>238.66104</v>
      </c>
      <c r="AI950" s="4">
        <v>132.3041</v>
      </c>
      <c r="AJ950" s="22">
        <v>106.35694</v>
      </c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4"/>
      <c r="BA950" s="4"/>
      <c r="BB950" s="4"/>
      <c r="BC950" s="22"/>
      <c r="BD950" s="22"/>
      <c r="BE950" s="22"/>
      <c r="BF950" s="22">
        <v>585.22879</v>
      </c>
      <c r="BG950" s="22">
        <f>105.87323+259.86453</f>
        <v>365.73776</v>
      </c>
      <c r="BH950" s="22"/>
      <c r="BI950" s="22"/>
      <c r="BJ950" s="22"/>
      <c r="BK950" s="22"/>
      <c r="BL950" s="22"/>
      <c r="BM950" s="22"/>
      <c r="BN950" s="22"/>
      <c r="BO950" s="4"/>
      <c r="BP950" s="4"/>
      <c r="BQ950" s="4"/>
      <c r="BR950" s="4"/>
      <c r="BS950" s="4"/>
      <c r="BT950" s="22"/>
      <c r="BU950" s="24"/>
    </row>
    <row r="951" spans="1:73" ht="73.5" customHeight="1" outlineLevel="2">
      <c r="A951" s="46" t="s">
        <v>24</v>
      </c>
      <c r="B951" s="45" t="s">
        <v>1075</v>
      </c>
      <c r="C951" s="39">
        <f t="shared" si="162"/>
        <v>287.66760999999997</v>
      </c>
      <c r="D951" s="1">
        <f t="shared" si="160"/>
        <v>188.48805</v>
      </c>
      <c r="E951" s="1">
        <f t="shared" si="161"/>
        <v>99.17956</v>
      </c>
      <c r="F951" s="22"/>
      <c r="G951" s="22"/>
      <c r="H951" s="22"/>
      <c r="I951" s="22"/>
      <c r="J951" s="22"/>
      <c r="K951" s="22"/>
      <c r="L951" s="22"/>
      <c r="M951" s="22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22"/>
      <c r="AA951" s="22"/>
      <c r="AB951" s="23">
        <v>82.17574</v>
      </c>
      <c r="AC951" s="4">
        <v>32.63278</v>
      </c>
      <c r="AD951" s="22"/>
      <c r="AE951" s="22"/>
      <c r="AF951" s="22"/>
      <c r="AG951" s="22"/>
      <c r="AH951" s="20"/>
      <c r="AI951" s="4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4"/>
      <c r="BA951" s="4"/>
      <c r="BB951" s="4"/>
      <c r="BC951" s="22"/>
      <c r="BD951" s="22"/>
      <c r="BE951" s="22"/>
      <c r="BF951" s="22">
        <v>106.31231</v>
      </c>
      <c r="BG951" s="22">
        <v>66.54678</v>
      </c>
      <c r="BH951" s="22"/>
      <c r="BI951" s="22"/>
      <c r="BJ951" s="22"/>
      <c r="BK951" s="22"/>
      <c r="BL951" s="22"/>
      <c r="BM951" s="22"/>
      <c r="BN951" s="22"/>
      <c r="BO951" s="4"/>
      <c r="BP951" s="4"/>
      <c r="BQ951" s="4"/>
      <c r="BR951" s="4"/>
      <c r="BS951" s="4"/>
      <c r="BT951" s="22"/>
      <c r="BU951" s="24"/>
    </row>
    <row r="952" spans="1:73" ht="73.5" customHeight="1" outlineLevel="2" thickBot="1">
      <c r="A952" s="46" t="s">
        <v>24</v>
      </c>
      <c r="B952" s="45" t="s">
        <v>1076</v>
      </c>
      <c r="C952" s="39">
        <f t="shared" si="162"/>
        <v>126.35927</v>
      </c>
      <c r="D952" s="1">
        <f t="shared" si="160"/>
        <v>71.97473</v>
      </c>
      <c r="E952" s="1">
        <f t="shared" si="161"/>
        <v>54.38454</v>
      </c>
      <c r="F952" s="22"/>
      <c r="G952" s="22"/>
      <c r="H952" s="22"/>
      <c r="I952" s="22"/>
      <c r="J952" s="22"/>
      <c r="K952" s="22"/>
      <c r="L952" s="22"/>
      <c r="M952" s="22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22">
        <v>13.90063</v>
      </c>
      <c r="AA952" s="22">
        <v>21.546</v>
      </c>
      <c r="AB952" s="23">
        <v>22.74324</v>
      </c>
      <c r="AC952" s="4">
        <v>10.7222</v>
      </c>
      <c r="AD952" s="22"/>
      <c r="AE952" s="22"/>
      <c r="AF952" s="22"/>
      <c r="AG952" s="22"/>
      <c r="AH952" s="20"/>
      <c r="AI952" s="4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4"/>
      <c r="BA952" s="4"/>
      <c r="BB952" s="4"/>
      <c r="BC952" s="22"/>
      <c r="BD952" s="22"/>
      <c r="BE952" s="22"/>
      <c r="BF952" s="22">
        <v>35.33086</v>
      </c>
      <c r="BG952" s="22">
        <v>22.11634</v>
      </c>
      <c r="BH952" s="22"/>
      <c r="BI952" s="22"/>
      <c r="BJ952" s="22"/>
      <c r="BK952" s="22"/>
      <c r="BL952" s="22"/>
      <c r="BM952" s="22"/>
      <c r="BN952" s="22"/>
      <c r="BO952" s="4"/>
      <c r="BP952" s="4"/>
      <c r="BQ952" s="4"/>
      <c r="BR952" s="4"/>
      <c r="BS952" s="4"/>
      <c r="BT952" s="22"/>
      <c r="BU952" s="24"/>
    </row>
    <row r="953" spans="1:74" s="35" customFormat="1" ht="73.5" customHeight="1" outlineLevel="1" thickBot="1">
      <c r="A953" s="29" t="s">
        <v>212</v>
      </c>
      <c r="B953" s="48"/>
      <c r="C953" s="49">
        <f aca="true" t="shared" si="163" ref="C953:BN953">SUBTOTAL(9,C942:C952)</f>
        <v>15243.331470000001</v>
      </c>
      <c r="D953" s="49">
        <f t="shared" si="163"/>
        <v>6221.41505</v>
      </c>
      <c r="E953" s="49">
        <f t="shared" si="163"/>
        <v>9021.91642</v>
      </c>
      <c r="F953" s="49">
        <f t="shared" si="163"/>
        <v>0</v>
      </c>
      <c r="G953" s="49">
        <f t="shared" si="163"/>
        <v>0</v>
      </c>
      <c r="H953" s="49">
        <f t="shared" si="163"/>
        <v>0</v>
      </c>
      <c r="I953" s="49">
        <f t="shared" si="163"/>
        <v>0</v>
      </c>
      <c r="J953" s="49">
        <f t="shared" si="163"/>
        <v>520.71015</v>
      </c>
      <c r="K953" s="49">
        <f t="shared" si="163"/>
        <v>161.18970000000002</v>
      </c>
      <c r="L953" s="49">
        <f t="shared" si="163"/>
        <v>42.2907</v>
      </c>
      <c r="M953" s="49">
        <f t="shared" si="163"/>
        <v>0</v>
      </c>
      <c r="N953" s="49">
        <f t="shared" si="163"/>
        <v>295.75005</v>
      </c>
      <c r="O953" s="49">
        <f t="shared" si="163"/>
        <v>13.17082</v>
      </c>
      <c r="P953" s="49">
        <f t="shared" si="163"/>
        <v>0</v>
      </c>
      <c r="Q953" s="49">
        <f t="shared" si="163"/>
        <v>0</v>
      </c>
      <c r="R953" s="49">
        <f t="shared" si="163"/>
        <v>0</v>
      </c>
      <c r="S953" s="49">
        <f t="shared" si="163"/>
        <v>0</v>
      </c>
      <c r="T953" s="49">
        <f t="shared" si="163"/>
        <v>0</v>
      </c>
      <c r="U953" s="49">
        <f t="shared" si="163"/>
        <v>0</v>
      </c>
      <c r="V953" s="49">
        <f t="shared" si="163"/>
        <v>0</v>
      </c>
      <c r="W953" s="49">
        <f t="shared" si="163"/>
        <v>0</v>
      </c>
      <c r="X953" s="49">
        <f t="shared" si="163"/>
        <v>0</v>
      </c>
      <c r="Y953" s="49">
        <f t="shared" si="163"/>
        <v>0</v>
      </c>
      <c r="Z953" s="49">
        <f t="shared" si="163"/>
        <v>38.22673</v>
      </c>
      <c r="AA953" s="49">
        <f t="shared" si="163"/>
        <v>62.329499999999996</v>
      </c>
      <c r="AB953" s="49">
        <f t="shared" si="163"/>
        <v>2166.5242200000002</v>
      </c>
      <c r="AC953" s="49">
        <f t="shared" si="163"/>
        <v>848.6854800000001</v>
      </c>
      <c r="AD953" s="49">
        <f t="shared" si="163"/>
        <v>0</v>
      </c>
      <c r="AE953" s="49">
        <f t="shared" si="163"/>
        <v>0</v>
      </c>
      <c r="AF953" s="49">
        <f t="shared" si="163"/>
        <v>0</v>
      </c>
      <c r="AG953" s="49">
        <f t="shared" si="163"/>
        <v>0</v>
      </c>
      <c r="AH953" s="49">
        <f t="shared" si="163"/>
        <v>721.5517300000001</v>
      </c>
      <c r="AI953" s="49">
        <f t="shared" si="163"/>
        <v>387.1583</v>
      </c>
      <c r="AJ953" s="49">
        <f t="shared" si="163"/>
        <v>334.39343</v>
      </c>
      <c r="AK953" s="49">
        <f t="shared" si="163"/>
        <v>0</v>
      </c>
      <c r="AL953" s="49">
        <f t="shared" si="163"/>
        <v>0</v>
      </c>
      <c r="AM953" s="49">
        <f t="shared" si="163"/>
        <v>0</v>
      </c>
      <c r="AN953" s="49">
        <f t="shared" si="163"/>
        <v>0</v>
      </c>
      <c r="AO953" s="49">
        <f t="shared" si="163"/>
        <v>0</v>
      </c>
      <c r="AP953" s="49">
        <f t="shared" si="163"/>
        <v>0</v>
      </c>
      <c r="AQ953" s="49">
        <f t="shared" si="163"/>
        <v>0</v>
      </c>
      <c r="AR953" s="49">
        <f t="shared" si="163"/>
        <v>0</v>
      </c>
      <c r="AS953" s="49">
        <f t="shared" si="163"/>
        <v>0</v>
      </c>
      <c r="AT953" s="49">
        <f t="shared" si="163"/>
        <v>0</v>
      </c>
      <c r="AU953" s="49">
        <f t="shared" si="163"/>
        <v>0</v>
      </c>
      <c r="AV953" s="49">
        <f t="shared" si="163"/>
        <v>0</v>
      </c>
      <c r="AW953" s="49">
        <f t="shared" si="163"/>
        <v>0</v>
      </c>
      <c r="AX953" s="49">
        <f t="shared" si="163"/>
        <v>41.6</v>
      </c>
      <c r="AY953" s="49">
        <f t="shared" si="163"/>
        <v>264.03151</v>
      </c>
      <c r="AZ953" s="49">
        <f t="shared" si="163"/>
        <v>166.46766</v>
      </c>
      <c r="BA953" s="49">
        <f t="shared" si="163"/>
        <v>0</v>
      </c>
      <c r="BB953" s="49">
        <f t="shared" si="163"/>
        <v>0</v>
      </c>
      <c r="BC953" s="49">
        <f t="shared" si="163"/>
        <v>0</v>
      </c>
      <c r="BD953" s="49">
        <f t="shared" si="163"/>
        <v>0</v>
      </c>
      <c r="BE953" s="49">
        <f t="shared" si="163"/>
        <v>0</v>
      </c>
      <c r="BF953" s="49">
        <f t="shared" si="163"/>
        <v>2936.1723899999997</v>
      </c>
      <c r="BG953" s="49">
        <f t="shared" si="163"/>
        <v>1794.6308299999998</v>
      </c>
      <c r="BH953" s="49">
        <f t="shared" si="163"/>
        <v>0</v>
      </c>
      <c r="BI953" s="49">
        <f t="shared" si="163"/>
        <v>0</v>
      </c>
      <c r="BJ953" s="49">
        <f t="shared" si="163"/>
        <v>0</v>
      </c>
      <c r="BK953" s="49">
        <f t="shared" si="163"/>
        <v>0</v>
      </c>
      <c r="BL953" s="49">
        <f t="shared" si="163"/>
        <v>0</v>
      </c>
      <c r="BM953" s="49">
        <f t="shared" si="163"/>
        <v>0</v>
      </c>
      <c r="BN953" s="49">
        <f t="shared" si="163"/>
        <v>0</v>
      </c>
      <c r="BO953" s="49">
        <f aca="true" t="shared" si="164" ref="BO953:BT953">SUBTOTAL(9,BO942:BO952)</f>
        <v>0</v>
      </c>
      <c r="BP953" s="49">
        <f t="shared" si="164"/>
        <v>0</v>
      </c>
      <c r="BQ953" s="49">
        <f t="shared" si="164"/>
        <v>0</v>
      </c>
      <c r="BR953" s="49">
        <f t="shared" si="164"/>
        <v>0</v>
      </c>
      <c r="BS953" s="2">
        <f t="shared" si="164"/>
        <v>0</v>
      </c>
      <c r="BT953" s="2">
        <f t="shared" si="164"/>
        <v>5170</v>
      </c>
      <c r="BU953" s="50"/>
      <c r="BV953" s="34"/>
    </row>
    <row r="954" spans="1:73" ht="73.5" customHeight="1" outlineLevel="2">
      <c r="A954" s="36" t="s">
        <v>213</v>
      </c>
      <c r="B954" s="52" t="s">
        <v>563</v>
      </c>
      <c r="C954" s="39">
        <f>D954+E954</f>
        <v>13926.73589</v>
      </c>
      <c r="D954" s="1">
        <f aca="true" t="shared" si="165" ref="D954:D988">F954+J954+N954+R954+T954+Z954+AB954+AD954+AF954+AM954+AO954+AT954+AY954+BF954+BO954+BS954+H954+V954+X954+BQ954+AR954+BH954</f>
        <v>5735.61889</v>
      </c>
      <c r="E954" s="1">
        <f aca="true" t="shared" si="166" ref="E954:E988">G954+I954+K954+L954+M954+O954+P954+Q954+S954+U954+W954+Y954+AA954+AC954+AE954+AG954+AH954+AK954+AL954+AN954+AP954+AQ954+AS954+AU954+AV954+AW954+AX954+AZ954+BA954+BB954+BC954+BD954+BE954+BG954+BI954+BJ954+BK954+BL954+BM954+BN954+BU954+BP954+BR954+BT954</f>
        <v>8191.117</v>
      </c>
      <c r="F954" s="40"/>
      <c r="G954" s="40"/>
      <c r="H954" s="40"/>
      <c r="I954" s="40"/>
      <c r="J954" s="40">
        <v>43.05987</v>
      </c>
      <c r="K954" s="40">
        <v>249.59574</v>
      </c>
      <c r="L954" s="40"/>
      <c r="M954" s="40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0">
        <v>962.55</v>
      </c>
      <c r="AA954" s="40">
        <v>493.776</v>
      </c>
      <c r="AB954" s="42">
        <v>1433.92627</v>
      </c>
      <c r="AC954" s="41">
        <v>537.74167</v>
      </c>
      <c r="AD954" s="40"/>
      <c r="AE954" s="40"/>
      <c r="AF954" s="40"/>
      <c r="AG954" s="40"/>
      <c r="AH954" s="43">
        <f>303.74821+468.8716</f>
        <v>772.6198099999999</v>
      </c>
      <c r="AI954" s="41">
        <v>468.8716</v>
      </c>
      <c r="AJ954" s="40">
        <v>303.74821</v>
      </c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>
        <v>990.41969</v>
      </c>
      <c r="AZ954" s="41">
        <v>584.32681</v>
      </c>
      <c r="BA954" s="41"/>
      <c r="BB954" s="41"/>
      <c r="BC954" s="40"/>
      <c r="BD954" s="40">
        <v>3549.565</v>
      </c>
      <c r="BE954" s="40">
        <v>562.45745</v>
      </c>
      <c r="BF954" s="40">
        <v>2305.66306</v>
      </c>
      <c r="BG954" s="40">
        <v>1441.03452</v>
      </c>
      <c r="BH954" s="40"/>
      <c r="BI954" s="40"/>
      <c r="BJ954" s="40"/>
      <c r="BK954" s="40"/>
      <c r="BL954" s="40"/>
      <c r="BM954" s="40"/>
      <c r="BN954" s="40"/>
      <c r="BO954" s="41"/>
      <c r="BP954" s="41"/>
      <c r="BQ954" s="41"/>
      <c r="BR954" s="41"/>
      <c r="BS954" s="4"/>
      <c r="BT954" s="22"/>
      <c r="BU954" s="24"/>
    </row>
    <row r="955" spans="1:73" ht="73.5" customHeight="1" outlineLevel="2">
      <c r="A955" s="46" t="s">
        <v>213</v>
      </c>
      <c r="B955" s="26" t="s">
        <v>286</v>
      </c>
      <c r="C955" s="39">
        <f aca="true" t="shared" si="167" ref="C955:C988">D955+E955</f>
        <v>132518.99753</v>
      </c>
      <c r="D955" s="1">
        <f t="shared" si="165"/>
        <v>63666.939609999994</v>
      </c>
      <c r="E955" s="1">
        <f t="shared" si="166"/>
        <v>68852.05791999999</v>
      </c>
      <c r="F955" s="22"/>
      <c r="G955" s="22"/>
      <c r="H955" s="22"/>
      <c r="I955" s="22"/>
      <c r="J955" s="22"/>
      <c r="K955" s="22"/>
      <c r="L955" s="22"/>
      <c r="M955" s="22">
        <v>13500</v>
      </c>
      <c r="N955" s="4"/>
      <c r="O955" s="4"/>
      <c r="P955" s="4"/>
      <c r="Q955" s="4"/>
      <c r="R955" s="4">
        <v>14404.25633</v>
      </c>
      <c r="S955" s="4">
        <v>4422.44205</v>
      </c>
      <c r="T955" s="4"/>
      <c r="U955" s="4"/>
      <c r="V955" s="4"/>
      <c r="W955" s="4"/>
      <c r="X955" s="4"/>
      <c r="Y955" s="4"/>
      <c r="Z955" s="22">
        <v>810</v>
      </c>
      <c r="AA955" s="22">
        <v>597.0645</v>
      </c>
      <c r="AB955" s="23">
        <v>11727.15307</v>
      </c>
      <c r="AC955" s="4">
        <v>4081.1959</v>
      </c>
      <c r="AD955" s="22"/>
      <c r="AE955" s="22"/>
      <c r="AF955" s="22"/>
      <c r="AG955" s="22"/>
      <c r="AH955" s="20">
        <f>840.1968+1438.52268+82.02103+108.39825+2037.77685</f>
        <v>4506.91561</v>
      </c>
      <c r="AI955" s="4">
        <v>2037.77685</v>
      </c>
      <c r="AJ955" s="22">
        <v>2469.13876</v>
      </c>
      <c r="AK955" s="22"/>
      <c r="AL955" s="22">
        <f>27.58867+1224.5455+377.5915</f>
        <v>1629.72567</v>
      </c>
      <c r="AM955" s="22">
        <v>8695.32</v>
      </c>
      <c r="AN955" s="22">
        <v>2941.1928</v>
      </c>
      <c r="AO955" s="22"/>
      <c r="AP955" s="22"/>
      <c r="AQ955" s="22"/>
      <c r="AR955" s="22"/>
      <c r="AS955" s="22"/>
      <c r="AT955" s="22">
        <v>213.21743</v>
      </c>
      <c r="AU955" s="22">
        <v>475</v>
      </c>
      <c r="AV955" s="22"/>
      <c r="AW955" s="22"/>
      <c r="AX955" s="22">
        <v>5374.72</v>
      </c>
      <c r="AY955" s="22">
        <v>11666.41409</v>
      </c>
      <c r="AZ955" s="4">
        <v>12902.41042</v>
      </c>
      <c r="BA955" s="4"/>
      <c r="BB955" s="4"/>
      <c r="BC955" s="22"/>
      <c r="BD955" s="22"/>
      <c r="BE955" s="22">
        <v>7443.80616</v>
      </c>
      <c r="BF955" s="22">
        <v>16150.57869</v>
      </c>
      <c r="BG955" s="22">
        <v>10061.74025</v>
      </c>
      <c r="BH955" s="22"/>
      <c r="BI955" s="22"/>
      <c r="BJ955" s="22">
        <v>915.84456</v>
      </c>
      <c r="BK955" s="22"/>
      <c r="BL955" s="22"/>
      <c r="BM955" s="22"/>
      <c r="BN955" s="22"/>
      <c r="BO955" s="4"/>
      <c r="BP955" s="4"/>
      <c r="BQ955" s="4"/>
      <c r="BR955" s="4"/>
      <c r="BS955" s="4"/>
      <c r="BT955" s="22"/>
      <c r="BU955" s="24"/>
    </row>
    <row r="956" spans="1:73" ht="73.5" customHeight="1" outlineLevel="2">
      <c r="A956" s="46" t="s">
        <v>213</v>
      </c>
      <c r="B956" s="26" t="s">
        <v>783</v>
      </c>
      <c r="C956" s="39">
        <f t="shared" si="167"/>
        <v>129002.90398999999</v>
      </c>
      <c r="D956" s="1">
        <f t="shared" si="165"/>
        <v>42022.75215</v>
      </c>
      <c r="E956" s="1">
        <f t="shared" si="166"/>
        <v>86980.15183999999</v>
      </c>
      <c r="F956" s="22"/>
      <c r="G956" s="22"/>
      <c r="H956" s="22">
        <v>2364.87169</v>
      </c>
      <c r="I956" s="22">
        <v>1583.17</v>
      </c>
      <c r="J956" s="22">
        <v>3153.20292</v>
      </c>
      <c r="K956" s="22">
        <v>3522.94842</v>
      </c>
      <c r="L956" s="22">
        <f>13966.02628+113.36049</f>
        <v>14079.38677</v>
      </c>
      <c r="M956" s="22">
        <f>22132.41446+12556.3893</f>
        <v>34688.80376</v>
      </c>
      <c r="N956" s="4"/>
      <c r="O956" s="4"/>
      <c r="P956" s="4"/>
      <c r="Q956" s="4"/>
      <c r="R956" s="4">
        <v>5842.51333</v>
      </c>
      <c r="S956" s="4">
        <v>6707.09011</v>
      </c>
      <c r="T956" s="4"/>
      <c r="U956" s="4"/>
      <c r="V956" s="4"/>
      <c r="W956" s="4"/>
      <c r="X956" s="4"/>
      <c r="Y956" s="4"/>
      <c r="Z956" s="22"/>
      <c r="AA956" s="22">
        <v>274.2255</v>
      </c>
      <c r="AB956" s="23">
        <v>5094.5725</v>
      </c>
      <c r="AC956" s="4">
        <v>1444.93308</v>
      </c>
      <c r="AD956" s="22"/>
      <c r="AE956" s="22"/>
      <c r="AF956" s="22"/>
      <c r="AG956" s="22"/>
      <c r="AH956" s="20">
        <f>476.8875+1061.76674+54.98113+72.2655+1522.0553</f>
        <v>3187.95617</v>
      </c>
      <c r="AI956" s="4">
        <v>1522.0553</v>
      </c>
      <c r="AJ956" s="22">
        <f>AH956-AI956</f>
        <v>1665.90087</v>
      </c>
      <c r="AK956" s="22"/>
      <c r="AL956" s="22">
        <v>44.17015</v>
      </c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>
        <v>95.8182</v>
      </c>
      <c r="AX956" s="22"/>
      <c r="AY956" s="4">
        <v>14301.3871</v>
      </c>
      <c r="AZ956" s="4">
        <v>9641.77401</v>
      </c>
      <c r="BA956" s="4"/>
      <c r="BB956" s="4"/>
      <c r="BC956" s="22"/>
      <c r="BD956" s="22"/>
      <c r="BE956" s="22">
        <v>4195.98</v>
      </c>
      <c r="BF956" s="22">
        <v>11266.20461</v>
      </c>
      <c r="BG956" s="22">
        <f>6076.41796+940.69993</f>
        <v>7017.1178899999995</v>
      </c>
      <c r="BH956" s="22"/>
      <c r="BI956" s="22"/>
      <c r="BJ956" s="22">
        <v>496.77778</v>
      </c>
      <c r="BK956" s="22"/>
      <c r="BL956" s="22"/>
      <c r="BM956" s="22"/>
      <c r="BN956" s="22"/>
      <c r="BO956" s="4"/>
      <c r="BP956" s="4"/>
      <c r="BQ956" s="4"/>
      <c r="BR956" s="4"/>
      <c r="BS956" s="4"/>
      <c r="BT956" s="22"/>
      <c r="BU956" s="24"/>
    </row>
    <row r="957" spans="1:73" ht="73.5" customHeight="1" outlineLevel="2">
      <c r="A957" s="46" t="s">
        <v>213</v>
      </c>
      <c r="B957" s="89" t="s">
        <v>139</v>
      </c>
      <c r="C957" s="39">
        <f t="shared" si="167"/>
        <v>9089.30774</v>
      </c>
      <c r="D957" s="1">
        <f t="shared" si="165"/>
        <v>5220.76643</v>
      </c>
      <c r="E957" s="1">
        <f t="shared" si="166"/>
        <v>3868.5413099999996</v>
      </c>
      <c r="F957" s="22"/>
      <c r="G957" s="22"/>
      <c r="H957" s="22"/>
      <c r="I957" s="22"/>
      <c r="J957" s="22"/>
      <c r="K957" s="22"/>
      <c r="L957" s="22"/>
      <c r="M957" s="22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22"/>
      <c r="AA957" s="22"/>
      <c r="AB957" s="4"/>
      <c r="AC957" s="4"/>
      <c r="AD957" s="22"/>
      <c r="AE957" s="22"/>
      <c r="AF957" s="22"/>
      <c r="AG957" s="22"/>
      <c r="AH957" s="20">
        <f>201.7288+8.11197+637.15535</f>
        <v>846.99612</v>
      </c>
      <c r="AI957" s="4">
        <v>637.15535</v>
      </c>
      <c r="AJ957" s="22">
        <v>209.84077</v>
      </c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>
        <v>1672.02391</v>
      </c>
      <c r="AZ957" s="4">
        <v>804.3568</v>
      </c>
      <c r="BA957" s="4"/>
      <c r="BB957" s="4"/>
      <c r="BC957" s="22"/>
      <c r="BD957" s="22"/>
      <c r="BE957" s="22"/>
      <c r="BF957" s="22">
        <f>3672.89137-124.14885</f>
        <v>3548.74252</v>
      </c>
      <c r="BG957" s="22">
        <f>2295.14634-77.95795</f>
        <v>2217.18839</v>
      </c>
      <c r="BH957" s="22"/>
      <c r="BI957" s="22"/>
      <c r="BJ957" s="22"/>
      <c r="BK957" s="22"/>
      <c r="BL957" s="22"/>
      <c r="BM957" s="22"/>
      <c r="BN957" s="22"/>
      <c r="BO957" s="4"/>
      <c r="BP957" s="4"/>
      <c r="BQ957" s="4"/>
      <c r="BR957" s="4"/>
      <c r="BS957" s="4"/>
      <c r="BT957" s="22"/>
      <c r="BU957" s="24"/>
    </row>
    <row r="958" spans="1:73" ht="73.5" customHeight="1" outlineLevel="2">
      <c r="A958" s="44" t="s">
        <v>213</v>
      </c>
      <c r="B958" s="26" t="s">
        <v>550</v>
      </c>
      <c r="C958" s="39">
        <f t="shared" si="167"/>
        <v>13939.87114</v>
      </c>
      <c r="D958" s="1">
        <f t="shared" si="165"/>
        <v>5998.256530000001</v>
      </c>
      <c r="E958" s="1">
        <f t="shared" si="166"/>
        <v>7941.614609999999</v>
      </c>
      <c r="F958" s="22"/>
      <c r="G958" s="22"/>
      <c r="H958" s="22"/>
      <c r="I958" s="22"/>
      <c r="J958" s="22">
        <v>123.00692</v>
      </c>
      <c r="K958" s="22">
        <v>194.89605</v>
      </c>
      <c r="L958" s="22"/>
      <c r="M958" s="22"/>
      <c r="N958" s="4"/>
      <c r="O958" s="4"/>
      <c r="P958" s="4"/>
      <c r="Q958" s="4"/>
      <c r="R958" s="4"/>
      <c r="S958" s="4">
        <v>49.11165</v>
      </c>
      <c r="T958" s="4"/>
      <c r="U958" s="4"/>
      <c r="V958" s="4"/>
      <c r="W958" s="4"/>
      <c r="X958" s="4"/>
      <c r="Y958" s="4"/>
      <c r="Z958" s="22"/>
      <c r="AA958" s="22"/>
      <c r="AB958" s="23">
        <v>876.54775</v>
      </c>
      <c r="AC958" s="4">
        <v>466.18264</v>
      </c>
      <c r="AD958" s="22"/>
      <c r="AE958" s="22"/>
      <c r="AF958" s="22"/>
      <c r="AG958" s="22"/>
      <c r="AH958" s="20">
        <f>2989.0079+383.00715+79.8114+449.696</f>
        <v>3901.52245</v>
      </c>
      <c r="AI958" s="4">
        <f>79.8114+449.696</f>
        <v>529.5074000000001</v>
      </c>
      <c r="AJ958" s="22">
        <v>3372.01505</v>
      </c>
      <c r="AK958" s="22"/>
      <c r="AL958" s="22"/>
      <c r="AM958" s="22">
        <v>1489.94308</v>
      </c>
      <c r="AN958" s="22">
        <v>563.3628</v>
      </c>
      <c r="AO958" s="22"/>
      <c r="AP958" s="22"/>
      <c r="AQ958" s="22">
        <v>360</v>
      </c>
      <c r="AR958" s="22"/>
      <c r="AS958" s="22"/>
      <c r="AT958" s="22"/>
      <c r="AU958" s="22"/>
      <c r="AV958" s="22"/>
      <c r="AW958" s="22"/>
      <c r="AX958" s="22"/>
      <c r="AY958" s="22">
        <v>1374.81308</v>
      </c>
      <c r="AZ958" s="4">
        <v>1074.80852</v>
      </c>
      <c r="BA958" s="4"/>
      <c r="BB958" s="4"/>
      <c r="BC958" s="22"/>
      <c r="BD958" s="22"/>
      <c r="BE958" s="22"/>
      <c r="BF958" s="22">
        <v>2133.9457</v>
      </c>
      <c r="BG958" s="22">
        <v>1331.7305</v>
      </c>
      <c r="BH958" s="22"/>
      <c r="BI958" s="22"/>
      <c r="BJ958" s="22"/>
      <c r="BK958" s="22"/>
      <c r="BL958" s="22"/>
      <c r="BM958" s="22"/>
      <c r="BN958" s="22"/>
      <c r="BO958" s="4"/>
      <c r="BP958" s="4"/>
      <c r="BQ958" s="4"/>
      <c r="BR958" s="4"/>
      <c r="BS958" s="4"/>
      <c r="BT958" s="22"/>
      <c r="BU958" s="24"/>
    </row>
    <row r="959" spans="1:73" ht="73.5" customHeight="1" outlineLevel="2">
      <c r="A959" s="44" t="s">
        <v>213</v>
      </c>
      <c r="B959" s="26" t="s">
        <v>284</v>
      </c>
      <c r="C959" s="39">
        <f t="shared" si="167"/>
        <v>265.70083</v>
      </c>
      <c r="D959" s="1">
        <f t="shared" si="165"/>
        <v>112.85259</v>
      </c>
      <c r="E959" s="1">
        <f t="shared" si="166"/>
        <v>152.84824</v>
      </c>
      <c r="F959" s="22"/>
      <c r="G959" s="22"/>
      <c r="H959" s="22"/>
      <c r="I959" s="22"/>
      <c r="J959" s="22"/>
      <c r="K959" s="22"/>
      <c r="L959" s="22"/>
      <c r="M959" s="22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22"/>
      <c r="AA959" s="22">
        <v>11.9475</v>
      </c>
      <c r="AB959" s="23"/>
      <c r="AC959" s="4"/>
      <c r="AD959" s="22"/>
      <c r="AE959" s="22"/>
      <c r="AF959" s="22"/>
      <c r="AG959" s="22"/>
      <c r="AH959" s="20">
        <f>25.23724+44.9696</f>
        <v>70.20684</v>
      </c>
      <c r="AI959" s="4">
        <v>44.9696</v>
      </c>
      <c r="AJ959" s="22">
        <v>25.23724</v>
      </c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4"/>
      <c r="BA959" s="4"/>
      <c r="BB959" s="4"/>
      <c r="BC959" s="22"/>
      <c r="BD959" s="22"/>
      <c r="BE959" s="22"/>
      <c r="BF959" s="22">
        <v>112.85259</v>
      </c>
      <c r="BG959" s="22">
        <v>70.6939</v>
      </c>
      <c r="BH959" s="22"/>
      <c r="BI959" s="22"/>
      <c r="BJ959" s="22"/>
      <c r="BK959" s="22"/>
      <c r="BL959" s="22"/>
      <c r="BM959" s="22"/>
      <c r="BN959" s="22"/>
      <c r="BO959" s="4"/>
      <c r="BP959" s="4"/>
      <c r="BQ959" s="4"/>
      <c r="BR959" s="4"/>
      <c r="BS959" s="4"/>
      <c r="BT959" s="22"/>
      <c r="BU959" s="24"/>
    </row>
    <row r="960" spans="1:73" ht="73.5" customHeight="1" outlineLevel="2">
      <c r="A960" s="46" t="s">
        <v>213</v>
      </c>
      <c r="B960" s="26" t="s">
        <v>479</v>
      </c>
      <c r="C960" s="39">
        <f t="shared" si="167"/>
        <v>712.2156600000001</v>
      </c>
      <c r="D960" s="1">
        <f t="shared" si="165"/>
        <v>371.64724</v>
      </c>
      <c r="E960" s="1">
        <f t="shared" si="166"/>
        <v>340.56842</v>
      </c>
      <c r="F960" s="22"/>
      <c r="G960" s="22"/>
      <c r="H960" s="22"/>
      <c r="I960" s="22"/>
      <c r="J960" s="22"/>
      <c r="K960" s="22"/>
      <c r="L960" s="22"/>
      <c r="M960" s="22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22">
        <v>90</v>
      </c>
      <c r="AA960" s="22">
        <v>47.7495</v>
      </c>
      <c r="AB960" s="23"/>
      <c r="AC960" s="4"/>
      <c r="AD960" s="22"/>
      <c r="AE960" s="22"/>
      <c r="AF960" s="22"/>
      <c r="AG960" s="22"/>
      <c r="AH960" s="20">
        <f>47.77049+68.96265</f>
        <v>116.73313999999999</v>
      </c>
      <c r="AI960" s="4">
        <v>68.96265</v>
      </c>
      <c r="AJ960" s="22">
        <v>47.77049</v>
      </c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4"/>
      <c r="BA960" s="4"/>
      <c r="BB960" s="4"/>
      <c r="BC960" s="22"/>
      <c r="BD960" s="22"/>
      <c r="BE960" s="22"/>
      <c r="BF960" s="22">
        <v>281.64724</v>
      </c>
      <c r="BG960" s="22">
        <v>176.08578</v>
      </c>
      <c r="BH960" s="22"/>
      <c r="BI960" s="22"/>
      <c r="BJ960" s="22"/>
      <c r="BK960" s="22"/>
      <c r="BL960" s="22"/>
      <c r="BM960" s="22"/>
      <c r="BN960" s="22"/>
      <c r="BO960" s="4"/>
      <c r="BP960" s="4"/>
      <c r="BQ960" s="4"/>
      <c r="BR960" s="4"/>
      <c r="BS960" s="4"/>
      <c r="BT960" s="22"/>
      <c r="BU960" s="24"/>
    </row>
    <row r="961" spans="1:73" ht="73.5" customHeight="1" outlineLevel="2">
      <c r="A961" s="46" t="s">
        <v>213</v>
      </c>
      <c r="B961" s="26" t="s">
        <v>338</v>
      </c>
      <c r="C961" s="39">
        <f t="shared" si="167"/>
        <v>16411.06746</v>
      </c>
      <c r="D961" s="1">
        <f t="shared" si="165"/>
        <v>8295.93592</v>
      </c>
      <c r="E961" s="1">
        <f t="shared" si="166"/>
        <v>8115.13154</v>
      </c>
      <c r="F961" s="22"/>
      <c r="G961" s="22"/>
      <c r="H961" s="22"/>
      <c r="I961" s="22"/>
      <c r="J961" s="22"/>
      <c r="K961" s="22"/>
      <c r="L961" s="22"/>
      <c r="M961" s="22"/>
      <c r="N961" s="4"/>
      <c r="O961" s="4"/>
      <c r="P961" s="4"/>
      <c r="Q961" s="4"/>
      <c r="R961" s="4">
        <v>2111.71741</v>
      </c>
      <c r="S961" s="4">
        <v>1890.28422</v>
      </c>
      <c r="T961" s="4"/>
      <c r="U961" s="4"/>
      <c r="V961" s="4"/>
      <c r="W961" s="4"/>
      <c r="X961" s="4"/>
      <c r="Y961" s="4"/>
      <c r="Z961" s="22">
        <v>112.5</v>
      </c>
      <c r="AA961" s="22">
        <v>59.697</v>
      </c>
      <c r="AB961" s="23">
        <v>2070.62412</v>
      </c>
      <c r="AC961" s="4">
        <v>811.15779</v>
      </c>
      <c r="AD961" s="22"/>
      <c r="AE961" s="22"/>
      <c r="AF961" s="22"/>
      <c r="AG961" s="22"/>
      <c r="AH961" s="20">
        <f>143.5378+772.084</f>
        <v>915.6217999999999</v>
      </c>
      <c r="AI961" s="4">
        <v>772.084</v>
      </c>
      <c r="AJ961" s="22">
        <v>143.5378</v>
      </c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4"/>
      <c r="BA961" s="4"/>
      <c r="BB961" s="4"/>
      <c r="BC961" s="22"/>
      <c r="BD961" s="22"/>
      <c r="BE961" s="22">
        <v>1943.97</v>
      </c>
      <c r="BF961" s="22">
        <v>4001.09439</v>
      </c>
      <c r="BG961" s="22">
        <v>2494.40073</v>
      </c>
      <c r="BH961" s="22"/>
      <c r="BI961" s="22"/>
      <c r="BJ961" s="22"/>
      <c r="BK961" s="22"/>
      <c r="BL961" s="22"/>
      <c r="BM961" s="22"/>
      <c r="BN961" s="22"/>
      <c r="BO961" s="4"/>
      <c r="BP961" s="4"/>
      <c r="BQ961" s="4"/>
      <c r="BR961" s="4"/>
      <c r="BS961" s="4"/>
      <c r="BT961" s="22"/>
      <c r="BU961" s="24"/>
    </row>
    <row r="962" spans="1:73" ht="73.5" customHeight="1" outlineLevel="2">
      <c r="A962" s="46" t="s">
        <v>213</v>
      </c>
      <c r="B962" s="26" t="s">
        <v>321</v>
      </c>
      <c r="C962" s="39">
        <f t="shared" si="167"/>
        <v>2656.02467</v>
      </c>
      <c r="D962" s="1">
        <f t="shared" si="165"/>
        <v>1244.65501</v>
      </c>
      <c r="E962" s="1">
        <f t="shared" si="166"/>
        <v>1411.3696599999998</v>
      </c>
      <c r="F962" s="22"/>
      <c r="G962" s="22"/>
      <c r="H962" s="22"/>
      <c r="I962" s="22"/>
      <c r="J962" s="22">
        <v>294.13783</v>
      </c>
      <c r="K962" s="22">
        <v>75.36059</v>
      </c>
      <c r="L962" s="22"/>
      <c r="M962" s="22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22"/>
      <c r="AA962" s="22">
        <v>47.79</v>
      </c>
      <c r="AB962" s="23">
        <v>328.65231</v>
      </c>
      <c r="AC962" s="4">
        <v>174.35231</v>
      </c>
      <c r="AD962" s="22"/>
      <c r="AE962" s="22"/>
      <c r="AF962" s="22"/>
      <c r="AG962" s="22"/>
      <c r="AH962" s="20">
        <f>118.97556+154.4168</f>
        <v>273.39236</v>
      </c>
      <c r="AI962" s="4">
        <v>154.4168</v>
      </c>
      <c r="AJ962" s="22">
        <v>118.97556</v>
      </c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>
        <v>109.48</v>
      </c>
      <c r="AX962" s="22">
        <v>299.52</v>
      </c>
      <c r="AY962" s="22"/>
      <c r="AZ962" s="4"/>
      <c r="BA962" s="4"/>
      <c r="BB962" s="4"/>
      <c r="BC962" s="22"/>
      <c r="BD962" s="22"/>
      <c r="BE962" s="22">
        <v>42.62034</v>
      </c>
      <c r="BF962" s="22">
        <v>621.86487</v>
      </c>
      <c r="BG962" s="22">
        <v>388.85406</v>
      </c>
      <c r="BH962" s="22"/>
      <c r="BI962" s="22"/>
      <c r="BJ962" s="22"/>
      <c r="BK962" s="22"/>
      <c r="BL962" s="22"/>
      <c r="BM962" s="22"/>
      <c r="BN962" s="22"/>
      <c r="BO962" s="4"/>
      <c r="BP962" s="4"/>
      <c r="BQ962" s="4"/>
      <c r="BR962" s="4"/>
      <c r="BS962" s="4"/>
      <c r="BT962" s="22"/>
      <c r="BU962" s="24"/>
    </row>
    <row r="963" spans="1:73" ht="73.5" customHeight="1" outlineLevel="2">
      <c r="A963" s="44" t="s">
        <v>213</v>
      </c>
      <c r="B963" s="26" t="s">
        <v>196</v>
      </c>
      <c r="C963" s="39">
        <f t="shared" si="167"/>
        <v>14954.00921</v>
      </c>
      <c r="D963" s="1">
        <f t="shared" si="165"/>
        <v>8068.4815</v>
      </c>
      <c r="E963" s="1">
        <f t="shared" si="166"/>
        <v>6885.52771</v>
      </c>
      <c r="F963" s="22"/>
      <c r="G963" s="22"/>
      <c r="H963" s="22"/>
      <c r="I963" s="22"/>
      <c r="J963" s="22">
        <v>336.77002</v>
      </c>
      <c r="K963" s="22">
        <v>33.06136</v>
      </c>
      <c r="L963" s="22"/>
      <c r="M963" s="22"/>
      <c r="N963" s="4"/>
      <c r="O963" s="4"/>
      <c r="P963" s="4">
        <v>75.92711</v>
      </c>
      <c r="Q963" s="4"/>
      <c r="R963" s="4">
        <v>1720.13875</v>
      </c>
      <c r="S963" s="4">
        <v>692.13625</v>
      </c>
      <c r="T963" s="4"/>
      <c r="U963" s="4"/>
      <c r="V963" s="4"/>
      <c r="W963" s="4"/>
      <c r="X963" s="4"/>
      <c r="Y963" s="4"/>
      <c r="Z963" s="22">
        <v>182.44578</v>
      </c>
      <c r="AA963" s="22">
        <v>250.776</v>
      </c>
      <c r="AB963" s="23">
        <v>2005.09157</v>
      </c>
      <c r="AC963" s="4">
        <v>859.64078</v>
      </c>
      <c r="AD963" s="22"/>
      <c r="AE963" s="22"/>
      <c r="AF963" s="22"/>
      <c r="AG963" s="22"/>
      <c r="AH963" s="20">
        <f>585.8645+783.3264</f>
        <v>1369.1909</v>
      </c>
      <c r="AI963" s="4">
        <v>783.3264</v>
      </c>
      <c r="AJ963" s="22">
        <v>585.8645</v>
      </c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4"/>
      <c r="BA963" s="4"/>
      <c r="BB963" s="4"/>
      <c r="BC963" s="22"/>
      <c r="BD963" s="22"/>
      <c r="BE963" s="22">
        <v>1218.7613</v>
      </c>
      <c r="BF963" s="22">
        <v>3824.03538</v>
      </c>
      <c r="BG963" s="22">
        <f>305.2114+2080.82261</f>
        <v>2386.0340100000003</v>
      </c>
      <c r="BH963" s="22"/>
      <c r="BI963" s="22"/>
      <c r="BJ963" s="22"/>
      <c r="BK963" s="22"/>
      <c r="BL963" s="22"/>
      <c r="BM963" s="22"/>
      <c r="BN963" s="22"/>
      <c r="BO963" s="4"/>
      <c r="BP963" s="4"/>
      <c r="BQ963" s="4"/>
      <c r="BR963" s="4"/>
      <c r="BS963" s="4"/>
      <c r="BT963" s="22"/>
      <c r="BU963" s="24"/>
    </row>
    <row r="964" spans="1:73" ht="73.5" customHeight="1" outlineLevel="2">
      <c r="A964" s="46" t="s">
        <v>213</v>
      </c>
      <c r="B964" s="26" t="s">
        <v>37</v>
      </c>
      <c r="C964" s="39">
        <f t="shared" si="167"/>
        <v>49442.132580000005</v>
      </c>
      <c r="D964" s="1">
        <f t="shared" si="165"/>
        <v>23700.706380000003</v>
      </c>
      <c r="E964" s="1">
        <f t="shared" si="166"/>
        <v>25741.4262</v>
      </c>
      <c r="F964" s="22"/>
      <c r="G964" s="22"/>
      <c r="H964" s="22"/>
      <c r="I964" s="22"/>
      <c r="J964" s="22">
        <v>845.13346</v>
      </c>
      <c r="K964" s="22">
        <v>275.26765</v>
      </c>
      <c r="L964" s="22">
        <f>2112.24134+11.98182</f>
        <v>2124.22316</v>
      </c>
      <c r="M964" s="22"/>
      <c r="N964" s="4"/>
      <c r="O964" s="4"/>
      <c r="P964" s="4"/>
      <c r="Q964" s="4"/>
      <c r="R964" s="4">
        <v>1281.55188</v>
      </c>
      <c r="S964" s="4">
        <v>1542.51823</v>
      </c>
      <c r="T964" s="4"/>
      <c r="U964" s="4"/>
      <c r="V964" s="4"/>
      <c r="W964" s="4"/>
      <c r="X964" s="4"/>
      <c r="Y964" s="4"/>
      <c r="Z964" s="22">
        <v>556.83859</v>
      </c>
      <c r="AA964" s="22">
        <v>375.894</v>
      </c>
      <c r="AB964" s="23">
        <v>5053.29668</v>
      </c>
      <c r="AC964" s="4">
        <v>1209.04467</v>
      </c>
      <c r="AD964" s="22"/>
      <c r="AE964" s="22"/>
      <c r="AF964" s="22"/>
      <c r="AG964" s="22"/>
      <c r="AH964" s="20">
        <f>300.2625+1112.8887+115.6248+1191.109</f>
        <v>2719.885</v>
      </c>
      <c r="AI964" s="4">
        <v>1191.109</v>
      </c>
      <c r="AJ964" s="22">
        <v>1528.776</v>
      </c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>
        <v>7748.75697</v>
      </c>
      <c r="AZ964" s="4">
        <v>4489.96129</v>
      </c>
      <c r="BA964" s="4"/>
      <c r="BB964" s="4"/>
      <c r="BC964" s="22"/>
      <c r="BD964" s="22"/>
      <c r="BE964" s="22">
        <v>7271.35489</v>
      </c>
      <c r="BF964" s="22">
        <v>8215.1288</v>
      </c>
      <c r="BG964" s="22">
        <v>5125.45838</v>
      </c>
      <c r="BH964" s="22"/>
      <c r="BI964" s="22"/>
      <c r="BJ964" s="22">
        <v>607.81893</v>
      </c>
      <c r="BK964" s="22"/>
      <c r="BL964" s="22"/>
      <c r="BM964" s="22"/>
      <c r="BN964" s="22"/>
      <c r="BO964" s="4"/>
      <c r="BP964" s="4"/>
      <c r="BQ964" s="4"/>
      <c r="BR964" s="4"/>
      <c r="BS964" s="4"/>
      <c r="BT964" s="22"/>
      <c r="BU964" s="24"/>
    </row>
    <row r="965" spans="1:73" ht="73.5" customHeight="1" outlineLevel="2">
      <c r="A965" s="46" t="s">
        <v>213</v>
      </c>
      <c r="B965" s="26" t="s">
        <v>323</v>
      </c>
      <c r="C965" s="39">
        <f t="shared" si="167"/>
        <v>6404.00056</v>
      </c>
      <c r="D965" s="1">
        <f t="shared" si="165"/>
        <v>4085.63652</v>
      </c>
      <c r="E965" s="1">
        <f t="shared" si="166"/>
        <v>2318.36404</v>
      </c>
      <c r="F965" s="22"/>
      <c r="G965" s="22"/>
      <c r="H965" s="22"/>
      <c r="I965" s="22"/>
      <c r="J965" s="22">
        <v>1251.40563</v>
      </c>
      <c r="K965" s="22">
        <v>245.42838</v>
      </c>
      <c r="L965" s="22"/>
      <c r="M965" s="22"/>
      <c r="N965" s="4"/>
      <c r="O965" s="4"/>
      <c r="P965" s="4">
        <v>35.53858</v>
      </c>
      <c r="Q965" s="4"/>
      <c r="R965" s="4">
        <v>524.4354</v>
      </c>
      <c r="S965" s="4">
        <v>162.18644</v>
      </c>
      <c r="T965" s="4"/>
      <c r="U965" s="4"/>
      <c r="V965" s="4"/>
      <c r="W965" s="4"/>
      <c r="X965" s="4"/>
      <c r="Y965" s="4"/>
      <c r="Z965" s="22">
        <v>78.19105</v>
      </c>
      <c r="AA965" s="22">
        <v>107.4465</v>
      </c>
      <c r="AB965" s="23">
        <v>861.37714</v>
      </c>
      <c r="AC965" s="4">
        <v>372.94611</v>
      </c>
      <c r="AD965" s="22"/>
      <c r="AE965" s="22"/>
      <c r="AF965" s="22"/>
      <c r="AG965" s="22"/>
      <c r="AH965" s="20">
        <f>254.17506+284.09635</f>
        <v>538.27141</v>
      </c>
      <c r="AI965" s="4">
        <v>284.09635</v>
      </c>
      <c r="AJ965" s="22">
        <v>254.17506</v>
      </c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4"/>
      <c r="BA965" s="4"/>
      <c r="BB965" s="4"/>
      <c r="BC965" s="22"/>
      <c r="BD965" s="22"/>
      <c r="BE965" s="22"/>
      <c r="BF965" s="22">
        <v>1370.2273</v>
      </c>
      <c r="BG965" s="22">
        <v>856.54662</v>
      </c>
      <c r="BH965" s="22"/>
      <c r="BI965" s="22"/>
      <c r="BJ965" s="22"/>
      <c r="BK965" s="22"/>
      <c r="BL965" s="22"/>
      <c r="BM965" s="22"/>
      <c r="BN965" s="22"/>
      <c r="BO965" s="4"/>
      <c r="BP965" s="4"/>
      <c r="BQ965" s="4"/>
      <c r="BR965" s="4"/>
      <c r="BS965" s="4"/>
      <c r="BT965" s="22"/>
      <c r="BU965" s="24"/>
    </row>
    <row r="966" spans="1:73" ht="73.5" customHeight="1" outlineLevel="2">
      <c r="A966" s="46" t="s">
        <v>213</v>
      </c>
      <c r="B966" s="26" t="s">
        <v>490</v>
      </c>
      <c r="C966" s="39">
        <f t="shared" si="167"/>
        <v>877.3389500000001</v>
      </c>
      <c r="D966" s="1">
        <f t="shared" si="165"/>
        <v>391.23676</v>
      </c>
      <c r="E966" s="1">
        <f t="shared" si="166"/>
        <v>486.10219</v>
      </c>
      <c r="F966" s="22"/>
      <c r="G966" s="22"/>
      <c r="H966" s="22"/>
      <c r="I966" s="22"/>
      <c r="J966" s="22"/>
      <c r="K966" s="22"/>
      <c r="L966" s="22"/>
      <c r="M966" s="22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22"/>
      <c r="AA966" s="22">
        <v>92.745</v>
      </c>
      <c r="AB966" s="4">
        <v>150.0304</v>
      </c>
      <c r="AC966" s="4">
        <v>65.26557</v>
      </c>
      <c r="AD966" s="22"/>
      <c r="AE966" s="22"/>
      <c r="AF966" s="22"/>
      <c r="AG966" s="22"/>
      <c r="AH966" s="20">
        <f>9.91463+12.04425</f>
        <v>21.95888</v>
      </c>
      <c r="AI966" s="4"/>
      <c r="AJ966" s="22">
        <v>21.95888</v>
      </c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4"/>
      <c r="BA966" s="4"/>
      <c r="BB966" s="4"/>
      <c r="BC966" s="22"/>
      <c r="BD966" s="22"/>
      <c r="BE966" s="22">
        <v>155.3616</v>
      </c>
      <c r="BF966" s="22">
        <v>241.20636</v>
      </c>
      <c r="BG966" s="22">
        <v>150.77114</v>
      </c>
      <c r="BH966" s="22"/>
      <c r="BI966" s="22"/>
      <c r="BJ966" s="22"/>
      <c r="BK966" s="22"/>
      <c r="BL966" s="22"/>
      <c r="BM966" s="22"/>
      <c r="BN966" s="22"/>
      <c r="BO966" s="4"/>
      <c r="BP966" s="4"/>
      <c r="BQ966" s="4"/>
      <c r="BR966" s="4"/>
      <c r="BS966" s="4"/>
      <c r="BT966" s="22"/>
      <c r="BU966" s="24"/>
    </row>
    <row r="967" spans="1:73" ht="73.5" customHeight="1" outlineLevel="2">
      <c r="A967" s="46" t="s">
        <v>213</v>
      </c>
      <c r="B967" s="26" t="s">
        <v>560</v>
      </c>
      <c r="C967" s="39">
        <f t="shared" si="167"/>
        <v>141.44</v>
      </c>
      <c r="D967" s="1">
        <f t="shared" si="165"/>
        <v>0</v>
      </c>
      <c r="E967" s="1">
        <f t="shared" si="166"/>
        <v>141.44</v>
      </c>
      <c r="F967" s="22"/>
      <c r="G967" s="22"/>
      <c r="H967" s="22"/>
      <c r="I967" s="22"/>
      <c r="J967" s="22"/>
      <c r="K967" s="22"/>
      <c r="L967" s="22"/>
      <c r="M967" s="22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22"/>
      <c r="AA967" s="22"/>
      <c r="AB967" s="4"/>
      <c r="AC967" s="4"/>
      <c r="AD967" s="22"/>
      <c r="AE967" s="22"/>
      <c r="AF967" s="22"/>
      <c r="AG967" s="22"/>
      <c r="AH967" s="20"/>
      <c r="AI967" s="4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>
        <v>141.44</v>
      </c>
      <c r="AY967" s="22"/>
      <c r="AZ967" s="4"/>
      <c r="BA967" s="4"/>
      <c r="BB967" s="4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4"/>
      <c r="BP967" s="4"/>
      <c r="BQ967" s="4"/>
      <c r="BR967" s="4"/>
      <c r="BS967" s="4"/>
      <c r="BT967" s="22"/>
      <c r="BU967" s="24"/>
    </row>
    <row r="968" spans="1:73" ht="73.5" customHeight="1" outlineLevel="2">
      <c r="A968" s="46" t="s">
        <v>213</v>
      </c>
      <c r="B968" s="26" t="s">
        <v>791</v>
      </c>
      <c r="C968" s="39">
        <f>D968+E968</f>
        <v>34.96</v>
      </c>
      <c r="D968" s="1">
        <f t="shared" si="165"/>
        <v>0</v>
      </c>
      <c r="E968" s="1">
        <f t="shared" si="166"/>
        <v>34.96</v>
      </c>
      <c r="F968" s="22"/>
      <c r="G968" s="22"/>
      <c r="H968" s="22"/>
      <c r="I968" s="22"/>
      <c r="J968" s="22"/>
      <c r="K968" s="22"/>
      <c r="L968" s="22"/>
      <c r="M968" s="22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22"/>
      <c r="AA968" s="22"/>
      <c r="AB968" s="4"/>
      <c r="AC968" s="4"/>
      <c r="AD968" s="22"/>
      <c r="AE968" s="22"/>
      <c r="AF968" s="22"/>
      <c r="AG968" s="22"/>
      <c r="AH968" s="20"/>
      <c r="AI968" s="4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>
        <v>34.96</v>
      </c>
      <c r="AX968" s="22"/>
      <c r="AY968" s="22"/>
      <c r="AZ968" s="4"/>
      <c r="BA968" s="4"/>
      <c r="BB968" s="4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4"/>
      <c r="BP968" s="4"/>
      <c r="BQ968" s="4"/>
      <c r="BR968" s="4"/>
      <c r="BS968" s="4"/>
      <c r="BT968" s="22"/>
      <c r="BU968" s="24"/>
    </row>
    <row r="969" spans="1:73" ht="73.5" customHeight="1" outlineLevel="2">
      <c r="A969" s="44" t="s">
        <v>213</v>
      </c>
      <c r="B969" s="26" t="s">
        <v>300</v>
      </c>
      <c r="C969" s="39">
        <f t="shared" si="167"/>
        <v>489.86998</v>
      </c>
      <c r="D969" s="1">
        <f t="shared" si="165"/>
        <v>110.68827</v>
      </c>
      <c r="E969" s="1">
        <f t="shared" si="166"/>
        <v>379.18171</v>
      </c>
      <c r="F969" s="22"/>
      <c r="G969" s="22"/>
      <c r="H969" s="22"/>
      <c r="I969" s="22"/>
      <c r="J969" s="22"/>
      <c r="K969" s="22"/>
      <c r="L969" s="22"/>
      <c r="M969" s="22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22"/>
      <c r="AA969" s="22"/>
      <c r="AB969" s="23">
        <v>53.58229</v>
      </c>
      <c r="AC969" s="4">
        <v>23.30913</v>
      </c>
      <c r="AD969" s="22"/>
      <c r="AE969" s="22"/>
      <c r="AF969" s="22"/>
      <c r="AG969" s="22"/>
      <c r="AH969" s="20"/>
      <c r="AI969" s="4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>
        <v>45.08</v>
      </c>
      <c r="AX969" s="22">
        <v>224.64</v>
      </c>
      <c r="AY969" s="22"/>
      <c r="AZ969" s="4"/>
      <c r="BA969" s="4"/>
      <c r="BB969" s="4"/>
      <c r="BC969" s="22"/>
      <c r="BD969" s="22"/>
      <c r="BE969" s="22">
        <v>50.26623</v>
      </c>
      <c r="BF969" s="22">
        <v>57.10598</v>
      </c>
      <c r="BG969" s="22">
        <v>35.88635</v>
      </c>
      <c r="BH969" s="22"/>
      <c r="BI969" s="22"/>
      <c r="BJ969" s="22"/>
      <c r="BK969" s="22"/>
      <c r="BL969" s="22"/>
      <c r="BM969" s="22"/>
      <c r="BN969" s="22"/>
      <c r="BO969" s="4"/>
      <c r="BP969" s="4"/>
      <c r="BQ969" s="4"/>
      <c r="BR969" s="4"/>
      <c r="BS969" s="4"/>
      <c r="BT969" s="22"/>
      <c r="BU969" s="24"/>
    </row>
    <row r="970" spans="1:73" ht="73.5" customHeight="1" outlineLevel="2">
      <c r="A970" s="44" t="s">
        <v>213</v>
      </c>
      <c r="B970" s="26" t="s">
        <v>47</v>
      </c>
      <c r="C970" s="39">
        <f t="shared" si="167"/>
        <v>8.161639999999998</v>
      </c>
      <c r="D970" s="1">
        <f t="shared" si="165"/>
        <v>5.023679999999999</v>
      </c>
      <c r="E970" s="1">
        <f t="shared" si="166"/>
        <v>3.1379600000000005</v>
      </c>
      <c r="F970" s="22"/>
      <c r="G970" s="22"/>
      <c r="H970" s="22"/>
      <c r="I970" s="22"/>
      <c r="J970" s="22"/>
      <c r="K970" s="22"/>
      <c r="L970" s="22"/>
      <c r="M970" s="22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22"/>
      <c r="AA970" s="22"/>
      <c r="AB970" s="23"/>
      <c r="AC970" s="4"/>
      <c r="AD970" s="22"/>
      <c r="AE970" s="22"/>
      <c r="AF970" s="22"/>
      <c r="AG970" s="22"/>
      <c r="AH970" s="20"/>
      <c r="AI970" s="4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4"/>
      <c r="BA970" s="4"/>
      <c r="BB970" s="4"/>
      <c r="BC970" s="22"/>
      <c r="BD970" s="22"/>
      <c r="BE970" s="22"/>
      <c r="BF970" s="22">
        <f>8.75748-3.7338</f>
        <v>5.023679999999999</v>
      </c>
      <c r="BG970" s="22">
        <f>5.48256-2.3446</f>
        <v>3.1379600000000005</v>
      </c>
      <c r="BH970" s="22"/>
      <c r="BI970" s="22"/>
      <c r="BJ970" s="22"/>
      <c r="BK970" s="22"/>
      <c r="BL970" s="22"/>
      <c r="BM970" s="22"/>
      <c r="BN970" s="22"/>
      <c r="BO970" s="4"/>
      <c r="BP970" s="4"/>
      <c r="BQ970" s="4"/>
      <c r="BR970" s="4"/>
      <c r="BS970" s="4"/>
      <c r="BT970" s="22"/>
      <c r="BU970" s="24"/>
    </row>
    <row r="971" spans="1:73" ht="73.5" customHeight="1" outlineLevel="2">
      <c r="A971" s="44" t="s">
        <v>213</v>
      </c>
      <c r="B971" s="26" t="s">
        <v>1077</v>
      </c>
      <c r="C971" s="39">
        <f t="shared" si="167"/>
        <v>982.66947</v>
      </c>
      <c r="D971" s="1">
        <f t="shared" si="165"/>
        <v>465.42764</v>
      </c>
      <c r="E971" s="1">
        <f t="shared" si="166"/>
        <v>517.24183</v>
      </c>
      <c r="F971" s="22"/>
      <c r="G971" s="22"/>
      <c r="H971" s="22"/>
      <c r="I971" s="22"/>
      <c r="J971" s="22"/>
      <c r="K971" s="22"/>
      <c r="L971" s="22"/>
      <c r="M971" s="22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22">
        <v>165.59126</v>
      </c>
      <c r="AA971" s="22">
        <v>228.42</v>
      </c>
      <c r="AB971" s="23">
        <v>53.58229</v>
      </c>
      <c r="AC971" s="4">
        <v>23.30913</v>
      </c>
      <c r="AD971" s="22"/>
      <c r="AE971" s="22"/>
      <c r="AF971" s="22"/>
      <c r="AG971" s="22"/>
      <c r="AH971" s="20">
        <f>44.16517+67.4544</f>
        <v>111.61957000000001</v>
      </c>
      <c r="AI971" s="4">
        <v>67.4544</v>
      </c>
      <c r="AJ971" s="22">
        <v>44.16517</v>
      </c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4"/>
      <c r="BA971" s="4"/>
      <c r="BB971" s="4"/>
      <c r="BC971" s="22"/>
      <c r="BD971" s="22"/>
      <c r="BE971" s="22"/>
      <c r="BF971" s="22">
        <v>246.25409</v>
      </c>
      <c r="BG971" s="22">
        <v>153.89313</v>
      </c>
      <c r="BH971" s="22"/>
      <c r="BI971" s="22"/>
      <c r="BJ971" s="22"/>
      <c r="BK971" s="22"/>
      <c r="BL971" s="22"/>
      <c r="BM971" s="22"/>
      <c r="BN971" s="22"/>
      <c r="BO971" s="4"/>
      <c r="BP971" s="4"/>
      <c r="BQ971" s="4"/>
      <c r="BR971" s="4"/>
      <c r="BS971" s="4"/>
      <c r="BT971" s="22"/>
      <c r="BU971" s="24"/>
    </row>
    <row r="972" spans="1:73" ht="73.5" customHeight="1" outlineLevel="2">
      <c r="A972" s="44" t="s">
        <v>213</v>
      </c>
      <c r="B972" s="26" t="s">
        <v>1078</v>
      </c>
      <c r="C972" s="39">
        <f t="shared" si="167"/>
        <v>174.11188</v>
      </c>
      <c r="D972" s="1">
        <f t="shared" si="165"/>
        <v>11.7159</v>
      </c>
      <c r="E972" s="1">
        <f t="shared" si="166"/>
        <v>162.39598</v>
      </c>
      <c r="F972" s="22"/>
      <c r="G972" s="22"/>
      <c r="H972" s="22"/>
      <c r="I972" s="22"/>
      <c r="J972" s="22"/>
      <c r="K972" s="22"/>
      <c r="L972" s="22"/>
      <c r="M972" s="22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22"/>
      <c r="AA972" s="22"/>
      <c r="AB972" s="23"/>
      <c r="AC972" s="4"/>
      <c r="AD972" s="22"/>
      <c r="AE972" s="22"/>
      <c r="AF972" s="22"/>
      <c r="AG972" s="22"/>
      <c r="AH972" s="20"/>
      <c r="AI972" s="4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4"/>
      <c r="BA972" s="4"/>
      <c r="BB972" s="4"/>
      <c r="BC972" s="22"/>
      <c r="BD972" s="22"/>
      <c r="BE972" s="22"/>
      <c r="BF972" s="22">
        <v>11.7159</v>
      </c>
      <c r="BG972" s="22">
        <v>7.31798</v>
      </c>
      <c r="BH972" s="22"/>
      <c r="BI972" s="22"/>
      <c r="BJ972" s="22">
        <v>155.078</v>
      </c>
      <c r="BK972" s="22"/>
      <c r="BL972" s="22"/>
      <c r="BM972" s="22"/>
      <c r="BN972" s="22"/>
      <c r="BO972" s="4"/>
      <c r="BP972" s="4"/>
      <c r="BQ972" s="4"/>
      <c r="BR972" s="4"/>
      <c r="BS972" s="4"/>
      <c r="BT972" s="22"/>
      <c r="BU972" s="24"/>
    </row>
    <row r="973" spans="1:73" ht="73.5" customHeight="1" outlineLevel="2">
      <c r="A973" s="44" t="s">
        <v>213</v>
      </c>
      <c r="B973" s="26" t="s">
        <v>1079</v>
      </c>
      <c r="C973" s="39">
        <f t="shared" si="167"/>
        <v>571.75659</v>
      </c>
      <c r="D973" s="1">
        <f t="shared" si="165"/>
        <v>291.1806</v>
      </c>
      <c r="E973" s="1">
        <f t="shared" si="166"/>
        <v>280.57599</v>
      </c>
      <c r="F973" s="22"/>
      <c r="G973" s="22"/>
      <c r="H973" s="22"/>
      <c r="I973" s="22"/>
      <c r="J973" s="22"/>
      <c r="K973" s="22"/>
      <c r="L973" s="22"/>
      <c r="M973" s="22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22">
        <v>93.82926</v>
      </c>
      <c r="AA973" s="22">
        <v>128.952</v>
      </c>
      <c r="AB973" s="23">
        <v>51.14673</v>
      </c>
      <c r="AC973" s="4">
        <v>23.30913</v>
      </c>
      <c r="AD973" s="22"/>
      <c r="AE973" s="22"/>
      <c r="AF973" s="22"/>
      <c r="AG973" s="22"/>
      <c r="AH973" s="20">
        <f>14.42128+22.4848</f>
        <v>36.90608</v>
      </c>
      <c r="AI973" s="4">
        <v>22.4848</v>
      </c>
      <c r="AJ973" s="22">
        <v>14.42128</v>
      </c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4"/>
      <c r="BA973" s="4"/>
      <c r="BB973" s="4"/>
      <c r="BC973" s="22"/>
      <c r="BD973" s="22"/>
      <c r="BE973" s="22"/>
      <c r="BF973" s="22">
        <v>146.20461</v>
      </c>
      <c r="BG973" s="22">
        <v>91.40878</v>
      </c>
      <c r="BH973" s="22"/>
      <c r="BI973" s="22"/>
      <c r="BJ973" s="22"/>
      <c r="BK973" s="22"/>
      <c r="BL973" s="22"/>
      <c r="BM973" s="22"/>
      <c r="BN973" s="22"/>
      <c r="BO973" s="4"/>
      <c r="BP973" s="4"/>
      <c r="BQ973" s="4"/>
      <c r="BR973" s="4"/>
      <c r="BS973" s="4"/>
      <c r="BT973" s="22"/>
      <c r="BU973" s="24"/>
    </row>
    <row r="974" spans="1:73" ht="73.5" customHeight="1" outlineLevel="2">
      <c r="A974" s="44" t="s">
        <v>213</v>
      </c>
      <c r="B974" s="26" t="s">
        <v>1080</v>
      </c>
      <c r="C974" s="39">
        <f t="shared" si="167"/>
        <v>1104.84257</v>
      </c>
      <c r="D974" s="1">
        <f t="shared" si="165"/>
        <v>312.75595999999996</v>
      </c>
      <c r="E974" s="1">
        <f t="shared" si="166"/>
        <v>792.0866100000001</v>
      </c>
      <c r="F974" s="22"/>
      <c r="G974" s="22"/>
      <c r="H974" s="22"/>
      <c r="I974" s="22"/>
      <c r="J974" s="22"/>
      <c r="K974" s="22"/>
      <c r="L974" s="22"/>
      <c r="M974" s="22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22"/>
      <c r="AA974" s="22">
        <v>156.816</v>
      </c>
      <c r="AB974" s="23">
        <v>39.57782</v>
      </c>
      <c r="AC974" s="4">
        <v>15.15094</v>
      </c>
      <c r="AD974" s="22"/>
      <c r="AE974" s="22"/>
      <c r="AF974" s="22"/>
      <c r="AG974" s="22"/>
      <c r="AH974" s="20">
        <f>38.75719+39.3484</f>
        <v>78.10559</v>
      </c>
      <c r="AI974" s="4">
        <v>39.3484</v>
      </c>
      <c r="AJ974" s="22">
        <v>38.75719</v>
      </c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4"/>
      <c r="BA974" s="4"/>
      <c r="BB974" s="4"/>
      <c r="BC974" s="22"/>
      <c r="BD974" s="22">
        <v>240.667</v>
      </c>
      <c r="BE974" s="22">
        <v>131</v>
      </c>
      <c r="BF974" s="22">
        <v>273.17814</v>
      </c>
      <c r="BG974" s="22">
        <v>170.34708</v>
      </c>
      <c r="BH974" s="22"/>
      <c r="BI974" s="22"/>
      <c r="BJ974" s="22"/>
      <c r="BK974" s="22"/>
      <c r="BL974" s="22"/>
      <c r="BM974" s="22"/>
      <c r="BN974" s="22"/>
      <c r="BO974" s="4"/>
      <c r="BP974" s="4"/>
      <c r="BQ974" s="4"/>
      <c r="BR974" s="4"/>
      <c r="BS974" s="4"/>
      <c r="BT974" s="22"/>
      <c r="BU974" s="24"/>
    </row>
    <row r="975" spans="1:73" ht="73.5" customHeight="1" outlineLevel="2">
      <c r="A975" s="44" t="s">
        <v>213</v>
      </c>
      <c r="B975" s="26" t="s">
        <v>1081</v>
      </c>
      <c r="C975" s="39">
        <f t="shared" si="167"/>
        <v>627.5996</v>
      </c>
      <c r="D975" s="1">
        <f t="shared" si="165"/>
        <v>213.87865</v>
      </c>
      <c r="E975" s="1">
        <f t="shared" si="166"/>
        <v>413.72095</v>
      </c>
      <c r="F975" s="22"/>
      <c r="G975" s="22"/>
      <c r="H975" s="22"/>
      <c r="I975" s="22"/>
      <c r="J975" s="22"/>
      <c r="K975" s="22"/>
      <c r="L975" s="22"/>
      <c r="M975" s="22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22"/>
      <c r="AA975" s="22"/>
      <c r="AB975" s="23">
        <v>85.14712</v>
      </c>
      <c r="AC975" s="4">
        <v>35.42988</v>
      </c>
      <c r="AD975" s="22"/>
      <c r="AE975" s="22"/>
      <c r="AF975" s="22"/>
      <c r="AG975" s="22"/>
      <c r="AH975" s="20">
        <f>18.92793+28.106</f>
        <v>47.03393</v>
      </c>
      <c r="AI975" s="4">
        <v>28.106</v>
      </c>
      <c r="AJ975" s="22">
        <v>18.92793</v>
      </c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4"/>
      <c r="BA975" s="4"/>
      <c r="BB975" s="4"/>
      <c r="BC975" s="22"/>
      <c r="BD975" s="22"/>
      <c r="BE975" s="22">
        <v>250.97648</v>
      </c>
      <c r="BF975" s="22">
        <v>128.73153</v>
      </c>
      <c r="BG975" s="22">
        <v>80.28066</v>
      </c>
      <c r="BH975" s="22"/>
      <c r="BI975" s="22"/>
      <c r="BJ975" s="22"/>
      <c r="BK975" s="22"/>
      <c r="BL975" s="22"/>
      <c r="BM975" s="22"/>
      <c r="BN975" s="22"/>
      <c r="BO975" s="4"/>
      <c r="BP975" s="4"/>
      <c r="BQ975" s="4"/>
      <c r="BR975" s="4"/>
      <c r="BS975" s="4"/>
      <c r="BT975" s="22"/>
      <c r="BU975" s="24"/>
    </row>
    <row r="976" spans="1:73" ht="73.5" customHeight="1" outlineLevel="2">
      <c r="A976" s="44" t="s">
        <v>213</v>
      </c>
      <c r="B976" s="26" t="s">
        <v>1082</v>
      </c>
      <c r="C976" s="39">
        <f t="shared" si="167"/>
        <v>967.2541500000001</v>
      </c>
      <c r="D976" s="1">
        <f t="shared" si="165"/>
        <v>421.14187000000004</v>
      </c>
      <c r="E976" s="1">
        <f t="shared" si="166"/>
        <v>546.11228</v>
      </c>
      <c r="F976" s="22"/>
      <c r="G976" s="22"/>
      <c r="H976" s="22"/>
      <c r="I976" s="22"/>
      <c r="J976" s="22">
        <v>248.11309</v>
      </c>
      <c r="K976" s="22">
        <v>106.77271</v>
      </c>
      <c r="L976" s="22"/>
      <c r="M976" s="22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22"/>
      <c r="AA976" s="22">
        <v>143.289</v>
      </c>
      <c r="AB976" s="23">
        <v>66.97786</v>
      </c>
      <c r="AC976" s="4">
        <v>29.13641</v>
      </c>
      <c r="AD976" s="22"/>
      <c r="AE976" s="22"/>
      <c r="AF976" s="22"/>
      <c r="AG976" s="22"/>
      <c r="AH976" s="20">
        <f>19.82926+22.4848</f>
        <v>42.31406</v>
      </c>
      <c r="AI976" s="4">
        <v>22.4848</v>
      </c>
      <c r="AJ976" s="22">
        <v>19.82926</v>
      </c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4"/>
      <c r="BA976" s="4"/>
      <c r="BB976" s="4"/>
      <c r="BC976" s="22"/>
      <c r="BD976" s="22"/>
      <c r="BE976" s="22">
        <v>158.3</v>
      </c>
      <c r="BF976" s="22">
        <v>106.05092</v>
      </c>
      <c r="BG976" s="22">
        <v>66.3001</v>
      </c>
      <c r="BH976" s="22"/>
      <c r="BI976" s="22"/>
      <c r="BJ976" s="22"/>
      <c r="BK976" s="22"/>
      <c r="BL976" s="22"/>
      <c r="BM976" s="22"/>
      <c r="BN976" s="22"/>
      <c r="BO976" s="4"/>
      <c r="BP976" s="4"/>
      <c r="BQ976" s="4"/>
      <c r="BR976" s="4"/>
      <c r="BS976" s="4"/>
      <c r="BT976" s="22"/>
      <c r="BU976" s="24"/>
    </row>
    <row r="977" spans="1:73" ht="73.5" customHeight="1" outlineLevel="2">
      <c r="A977" s="44" t="s">
        <v>213</v>
      </c>
      <c r="B977" s="26" t="s">
        <v>1083</v>
      </c>
      <c r="C977" s="39">
        <f t="shared" si="167"/>
        <v>234.18486</v>
      </c>
      <c r="D977" s="1">
        <f t="shared" si="165"/>
        <v>113.47688</v>
      </c>
      <c r="E977" s="1">
        <f t="shared" si="166"/>
        <v>120.70797999999999</v>
      </c>
      <c r="F977" s="22"/>
      <c r="G977" s="22"/>
      <c r="H977" s="22"/>
      <c r="I977" s="22"/>
      <c r="J977" s="22">
        <v>22.74436</v>
      </c>
      <c r="K977" s="22">
        <v>25.79567</v>
      </c>
      <c r="L977" s="22"/>
      <c r="M977" s="22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22"/>
      <c r="AA977" s="22">
        <v>45.2385</v>
      </c>
      <c r="AB977" s="23">
        <v>33.61071</v>
      </c>
      <c r="AC977" s="4">
        <v>13.98548</v>
      </c>
      <c r="AD977" s="22"/>
      <c r="AE977" s="22"/>
      <c r="AF977" s="22"/>
      <c r="AG977" s="22"/>
      <c r="AH977" s="20"/>
      <c r="AI977" s="4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4"/>
      <c r="BA977" s="4"/>
      <c r="BB977" s="4"/>
      <c r="BC977" s="22"/>
      <c r="BD977" s="22"/>
      <c r="BE977" s="22"/>
      <c r="BF977" s="22">
        <v>57.12181</v>
      </c>
      <c r="BG977" s="22">
        <v>35.68833</v>
      </c>
      <c r="BH977" s="22"/>
      <c r="BI977" s="22"/>
      <c r="BJ977" s="22"/>
      <c r="BK977" s="22"/>
      <c r="BL977" s="22"/>
      <c r="BM977" s="22"/>
      <c r="BN977" s="22"/>
      <c r="BO977" s="4"/>
      <c r="BP977" s="4"/>
      <c r="BQ977" s="4"/>
      <c r="BR977" s="4"/>
      <c r="BS977" s="4"/>
      <c r="BT977" s="22"/>
      <c r="BU977" s="24"/>
    </row>
    <row r="978" spans="1:73" ht="73.5" customHeight="1" outlineLevel="2">
      <c r="A978" s="44" t="s">
        <v>213</v>
      </c>
      <c r="B978" s="26" t="s">
        <v>1084</v>
      </c>
      <c r="C978" s="39">
        <f t="shared" si="167"/>
        <v>19.08007</v>
      </c>
      <c r="D978" s="1">
        <f t="shared" si="165"/>
        <v>8.80047</v>
      </c>
      <c r="E978" s="1">
        <f t="shared" si="166"/>
        <v>10.2796</v>
      </c>
      <c r="F978" s="22"/>
      <c r="G978" s="22"/>
      <c r="H978" s="22"/>
      <c r="I978" s="22"/>
      <c r="J978" s="22"/>
      <c r="K978" s="22"/>
      <c r="L978" s="22"/>
      <c r="M978" s="22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22"/>
      <c r="AA978" s="22"/>
      <c r="AB978" s="23"/>
      <c r="AC978" s="4"/>
      <c r="AD978" s="22"/>
      <c r="AE978" s="22"/>
      <c r="AF978" s="22"/>
      <c r="AG978" s="22"/>
      <c r="AH978" s="20"/>
      <c r="AI978" s="4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>
        <v>8.80047</v>
      </c>
      <c r="AZ978" s="4">
        <v>10.2796</v>
      </c>
      <c r="BA978" s="4"/>
      <c r="BB978" s="4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4"/>
      <c r="BP978" s="4"/>
      <c r="BQ978" s="4"/>
      <c r="BR978" s="4"/>
      <c r="BS978" s="4"/>
      <c r="BT978" s="22"/>
      <c r="BU978" s="24"/>
    </row>
    <row r="979" spans="1:73" ht="73.5" customHeight="1" outlineLevel="2">
      <c r="A979" s="44" t="s">
        <v>213</v>
      </c>
      <c r="B979" s="26" t="s">
        <v>1085</v>
      </c>
      <c r="C979" s="39">
        <f t="shared" si="167"/>
        <v>163.87627</v>
      </c>
      <c r="D979" s="1">
        <f t="shared" si="165"/>
        <v>100.87891</v>
      </c>
      <c r="E979" s="1">
        <f t="shared" si="166"/>
        <v>62.99736</v>
      </c>
      <c r="F979" s="22"/>
      <c r="G979" s="22"/>
      <c r="H979" s="22"/>
      <c r="I979" s="22"/>
      <c r="J979" s="22"/>
      <c r="K979" s="22"/>
      <c r="L979" s="22"/>
      <c r="M979" s="22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22"/>
      <c r="AA979" s="22"/>
      <c r="AB979" s="23"/>
      <c r="AC979" s="4"/>
      <c r="AD979" s="22"/>
      <c r="AE979" s="22"/>
      <c r="AF979" s="22"/>
      <c r="AG979" s="22"/>
      <c r="AH979" s="20"/>
      <c r="AI979" s="4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4"/>
      <c r="BA979" s="4"/>
      <c r="BB979" s="4"/>
      <c r="BC979" s="22"/>
      <c r="BD979" s="22"/>
      <c r="BE979" s="22"/>
      <c r="BF979" s="22">
        <v>100.87891</v>
      </c>
      <c r="BG979" s="22">
        <v>62.99736</v>
      </c>
      <c r="BH979" s="22"/>
      <c r="BI979" s="22"/>
      <c r="BJ979" s="22"/>
      <c r="BK979" s="22"/>
      <c r="BL979" s="22"/>
      <c r="BM979" s="22"/>
      <c r="BN979" s="22"/>
      <c r="BO979" s="4"/>
      <c r="BP979" s="4"/>
      <c r="BQ979" s="4"/>
      <c r="BR979" s="4"/>
      <c r="BS979" s="4"/>
      <c r="BT979" s="22"/>
      <c r="BU979" s="24"/>
    </row>
    <row r="980" spans="1:73" ht="73.5" customHeight="1" outlineLevel="2">
      <c r="A980" s="44" t="s">
        <v>213</v>
      </c>
      <c r="B980" s="26" t="s">
        <v>1086</v>
      </c>
      <c r="C980" s="39">
        <f t="shared" si="167"/>
        <v>336.22209</v>
      </c>
      <c r="D980" s="1">
        <f t="shared" si="165"/>
        <v>116.45604</v>
      </c>
      <c r="E980" s="1">
        <f t="shared" si="166"/>
        <v>219.76605</v>
      </c>
      <c r="F980" s="22"/>
      <c r="G980" s="22"/>
      <c r="H980" s="22"/>
      <c r="I980" s="22"/>
      <c r="J980" s="22"/>
      <c r="K980" s="22"/>
      <c r="L980" s="22"/>
      <c r="M980" s="22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22"/>
      <c r="AA980" s="22">
        <v>125.9145</v>
      </c>
      <c r="AB980" s="23">
        <v>29.2267</v>
      </c>
      <c r="AC980" s="4">
        <v>11.65457</v>
      </c>
      <c r="AD980" s="22"/>
      <c r="AE980" s="22"/>
      <c r="AF980" s="22"/>
      <c r="AG980" s="22"/>
      <c r="AH980" s="20">
        <f>10.81596+16.8636</f>
        <v>27.679560000000002</v>
      </c>
      <c r="AI980" s="4">
        <v>16.8636</v>
      </c>
      <c r="AJ980" s="22">
        <v>10.81596</v>
      </c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4"/>
      <c r="BA980" s="4"/>
      <c r="BB980" s="4"/>
      <c r="BC980" s="22"/>
      <c r="BD980" s="22"/>
      <c r="BE980" s="22"/>
      <c r="BF980" s="22">
        <v>87.22934</v>
      </c>
      <c r="BG980" s="22">
        <v>54.51742</v>
      </c>
      <c r="BH980" s="22"/>
      <c r="BI980" s="22"/>
      <c r="BJ980" s="22"/>
      <c r="BK980" s="22"/>
      <c r="BL980" s="22"/>
      <c r="BM980" s="22"/>
      <c r="BN980" s="22"/>
      <c r="BO980" s="4"/>
      <c r="BP980" s="4"/>
      <c r="BQ980" s="4"/>
      <c r="BR980" s="4"/>
      <c r="BS980" s="4"/>
      <c r="BT980" s="22"/>
      <c r="BU980" s="24"/>
    </row>
    <row r="981" spans="1:73" ht="73.5" customHeight="1" outlineLevel="2">
      <c r="A981" s="44" t="s">
        <v>213</v>
      </c>
      <c r="B981" s="26" t="s">
        <v>1087</v>
      </c>
      <c r="C981" s="39">
        <f t="shared" si="167"/>
        <v>541.17579</v>
      </c>
      <c r="D981" s="1">
        <f t="shared" si="165"/>
        <v>267.17555000000004</v>
      </c>
      <c r="E981" s="1">
        <f t="shared" si="166"/>
        <v>274.00023999999996</v>
      </c>
      <c r="F981" s="22"/>
      <c r="G981" s="22"/>
      <c r="H981" s="22"/>
      <c r="I981" s="22"/>
      <c r="J981" s="22"/>
      <c r="K981" s="22"/>
      <c r="L981" s="22"/>
      <c r="M981" s="22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22">
        <v>71.93577</v>
      </c>
      <c r="AA981" s="22">
        <v>98.901</v>
      </c>
      <c r="AB981" s="23">
        <v>51.14673</v>
      </c>
      <c r="AC981" s="4">
        <v>23.30913</v>
      </c>
      <c r="AD981" s="22"/>
      <c r="AE981" s="22"/>
      <c r="AF981" s="22"/>
      <c r="AG981" s="22"/>
      <c r="AH981" s="20">
        <f>27.94123+33.7272</f>
        <v>61.66843</v>
      </c>
      <c r="AI981" s="4">
        <v>33.7272</v>
      </c>
      <c r="AJ981" s="22">
        <v>27.94123</v>
      </c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4"/>
      <c r="BA981" s="4"/>
      <c r="BB981" s="4"/>
      <c r="BC981" s="22"/>
      <c r="BD981" s="22"/>
      <c r="BE981" s="22"/>
      <c r="BF981" s="22">
        <v>144.09305</v>
      </c>
      <c r="BG981" s="22">
        <v>90.12168</v>
      </c>
      <c r="BH981" s="22"/>
      <c r="BI981" s="22"/>
      <c r="BJ981" s="22"/>
      <c r="BK981" s="22"/>
      <c r="BL981" s="22"/>
      <c r="BM981" s="22"/>
      <c r="BN981" s="22"/>
      <c r="BO981" s="4"/>
      <c r="BP981" s="4"/>
      <c r="BQ981" s="4"/>
      <c r="BR981" s="4"/>
      <c r="BS981" s="4"/>
      <c r="BT981" s="22"/>
      <c r="BU981" s="24"/>
    </row>
    <row r="982" spans="1:73" ht="73.5" customHeight="1" outlineLevel="2">
      <c r="A982" s="44" t="s">
        <v>213</v>
      </c>
      <c r="B982" s="26" t="s">
        <v>1088</v>
      </c>
      <c r="C982" s="39">
        <f t="shared" si="167"/>
        <v>604.76388</v>
      </c>
      <c r="D982" s="1">
        <f t="shared" si="165"/>
        <v>332.51946</v>
      </c>
      <c r="E982" s="1">
        <f t="shared" si="166"/>
        <v>272.24442</v>
      </c>
      <c r="F982" s="22"/>
      <c r="G982" s="22"/>
      <c r="H982" s="22"/>
      <c r="I982" s="22"/>
      <c r="J982" s="22"/>
      <c r="K982" s="22"/>
      <c r="L982" s="22"/>
      <c r="M982" s="22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22">
        <v>139.00631</v>
      </c>
      <c r="AA982" s="22">
        <v>117.3285</v>
      </c>
      <c r="AB982" s="23">
        <v>54.80007</v>
      </c>
      <c r="AC982" s="4">
        <v>20.97822</v>
      </c>
      <c r="AD982" s="22"/>
      <c r="AE982" s="22"/>
      <c r="AF982" s="22"/>
      <c r="AG982" s="22"/>
      <c r="AH982" s="20">
        <f>18.92793+28.106</f>
        <v>47.03393</v>
      </c>
      <c r="AI982" s="4">
        <v>28.106</v>
      </c>
      <c r="AJ982" s="22">
        <v>18.92793</v>
      </c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4"/>
      <c r="BA982" s="4"/>
      <c r="BB982" s="4"/>
      <c r="BC982" s="22"/>
      <c r="BD982" s="22"/>
      <c r="BE982" s="22"/>
      <c r="BF982" s="22">
        <v>138.71308</v>
      </c>
      <c r="BG982" s="22">
        <v>86.90377</v>
      </c>
      <c r="BH982" s="22"/>
      <c r="BI982" s="22"/>
      <c r="BJ982" s="22"/>
      <c r="BK982" s="22"/>
      <c r="BL982" s="22"/>
      <c r="BM982" s="22"/>
      <c r="BN982" s="22"/>
      <c r="BO982" s="4"/>
      <c r="BP982" s="4"/>
      <c r="BQ982" s="4"/>
      <c r="BR982" s="4"/>
      <c r="BS982" s="4"/>
      <c r="BT982" s="22"/>
      <c r="BU982" s="24"/>
    </row>
    <row r="983" spans="1:73" ht="73.5" customHeight="1" outlineLevel="2">
      <c r="A983" s="44" t="s">
        <v>213</v>
      </c>
      <c r="B983" s="26" t="s">
        <v>1089</v>
      </c>
      <c r="C983" s="39">
        <f t="shared" si="167"/>
        <v>1363.6548699999998</v>
      </c>
      <c r="D983" s="1">
        <f t="shared" si="165"/>
        <v>594.2686199999999</v>
      </c>
      <c r="E983" s="1">
        <f t="shared" si="166"/>
        <v>769.38625</v>
      </c>
      <c r="F983" s="22"/>
      <c r="G983" s="22"/>
      <c r="H983" s="22"/>
      <c r="I983" s="22"/>
      <c r="J983" s="22"/>
      <c r="K983" s="22"/>
      <c r="L983" s="22"/>
      <c r="M983" s="22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22"/>
      <c r="AA983" s="22">
        <v>36.8955</v>
      </c>
      <c r="AB983" s="23">
        <v>212.98959</v>
      </c>
      <c r="AC983" s="4">
        <v>116.54566</v>
      </c>
      <c r="AD983" s="22"/>
      <c r="AE983" s="22"/>
      <c r="AF983" s="22"/>
      <c r="AG983" s="22"/>
      <c r="AH983" s="20">
        <f>79.31704+99.3211</f>
        <v>178.63814000000002</v>
      </c>
      <c r="AI983" s="4">
        <v>99.3211</v>
      </c>
      <c r="AJ983" s="22">
        <v>79.31704</v>
      </c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4"/>
      <c r="BA983" s="4"/>
      <c r="BB983" s="4"/>
      <c r="BC983" s="22"/>
      <c r="BD983" s="22"/>
      <c r="BE983" s="22">
        <v>198.65512</v>
      </c>
      <c r="BF983" s="22">
        <v>381.27903</v>
      </c>
      <c r="BG983" s="22">
        <v>238.65183</v>
      </c>
      <c r="BH983" s="22"/>
      <c r="BI983" s="22"/>
      <c r="BJ983" s="22"/>
      <c r="BK983" s="22"/>
      <c r="BL983" s="22"/>
      <c r="BM983" s="22"/>
      <c r="BN983" s="22"/>
      <c r="BO983" s="4"/>
      <c r="BP983" s="4"/>
      <c r="BQ983" s="4"/>
      <c r="BR983" s="4"/>
      <c r="BS983" s="4"/>
      <c r="BT983" s="22"/>
      <c r="BU983" s="24"/>
    </row>
    <row r="984" spans="1:73" ht="73.5" customHeight="1" outlineLevel="2">
      <c r="A984" s="44" t="s">
        <v>213</v>
      </c>
      <c r="B984" s="26" t="s">
        <v>1090</v>
      </c>
      <c r="C984" s="39">
        <f t="shared" si="167"/>
        <v>463.22552</v>
      </c>
      <c r="D984" s="1">
        <f t="shared" si="165"/>
        <v>231.13783</v>
      </c>
      <c r="E984" s="1">
        <f t="shared" si="166"/>
        <v>232.08769</v>
      </c>
      <c r="F984" s="22"/>
      <c r="G984" s="22"/>
      <c r="H984" s="22"/>
      <c r="I984" s="22"/>
      <c r="J984" s="22"/>
      <c r="K984" s="22"/>
      <c r="L984" s="22"/>
      <c r="M984" s="22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22"/>
      <c r="AA984" s="22">
        <v>11.9475</v>
      </c>
      <c r="AB984" s="23">
        <v>77.28977</v>
      </c>
      <c r="AC984" s="4">
        <v>43.58808</v>
      </c>
      <c r="AD984" s="22"/>
      <c r="AE984" s="22"/>
      <c r="AF984" s="22"/>
      <c r="AG984" s="22"/>
      <c r="AH984" s="20">
        <f>29.74389+50.5908</f>
        <v>80.33469</v>
      </c>
      <c r="AI984" s="4">
        <v>50.5908</v>
      </c>
      <c r="AJ984" s="22">
        <v>29.74389</v>
      </c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4"/>
      <c r="BA984" s="4"/>
      <c r="BB984" s="4"/>
      <c r="BC984" s="22"/>
      <c r="BD984" s="22"/>
      <c r="BE984" s="22"/>
      <c r="BF984" s="22">
        <v>153.84806</v>
      </c>
      <c r="BG984" s="22">
        <v>96.21742</v>
      </c>
      <c r="BH984" s="22"/>
      <c r="BI984" s="22"/>
      <c r="BJ984" s="22"/>
      <c r="BK984" s="22"/>
      <c r="BL984" s="22"/>
      <c r="BM984" s="22"/>
      <c r="BN984" s="22"/>
      <c r="BO984" s="4"/>
      <c r="BP984" s="4"/>
      <c r="BQ984" s="4"/>
      <c r="BR984" s="4"/>
      <c r="BS984" s="4"/>
      <c r="BT984" s="22"/>
      <c r="BU984" s="24"/>
    </row>
    <row r="985" spans="1:73" ht="73.5" customHeight="1" outlineLevel="2">
      <c r="A985" s="44" t="s">
        <v>213</v>
      </c>
      <c r="B985" s="26" t="s">
        <v>499</v>
      </c>
      <c r="C985" s="39">
        <f t="shared" si="167"/>
        <v>8009.976200000001</v>
      </c>
      <c r="D985" s="1">
        <f t="shared" si="165"/>
        <v>3418.97989</v>
      </c>
      <c r="E985" s="1">
        <f t="shared" si="166"/>
        <v>4590.99631</v>
      </c>
      <c r="F985" s="22"/>
      <c r="G985" s="22"/>
      <c r="H985" s="22"/>
      <c r="I985" s="22"/>
      <c r="J985" s="22"/>
      <c r="K985" s="22"/>
      <c r="L985" s="22"/>
      <c r="M985" s="22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22"/>
      <c r="AA985" s="22">
        <v>2010.7035</v>
      </c>
      <c r="AB985" s="23">
        <v>1648.16676</v>
      </c>
      <c r="AC985" s="4">
        <v>432.1513</v>
      </c>
      <c r="AD985" s="22"/>
      <c r="AE985" s="22"/>
      <c r="AF985" s="22"/>
      <c r="AG985" s="22"/>
      <c r="AH985" s="20">
        <f>294.73491+325.3251</f>
        <v>620.06001</v>
      </c>
      <c r="AI985" s="4">
        <v>325.3251</v>
      </c>
      <c r="AJ985" s="22">
        <v>294.73491</v>
      </c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4"/>
      <c r="BA985" s="4"/>
      <c r="BB985" s="4"/>
      <c r="BC985" s="22"/>
      <c r="BD985" s="22"/>
      <c r="BE985" s="22">
        <v>423.11252</v>
      </c>
      <c r="BF985" s="22">
        <v>1770.81313</v>
      </c>
      <c r="BG985" s="22">
        <f>716.2796+388.68938</f>
        <v>1104.96898</v>
      </c>
      <c r="BH985" s="22"/>
      <c r="BI985" s="22"/>
      <c r="BJ985" s="22"/>
      <c r="BK985" s="22"/>
      <c r="BL985" s="22"/>
      <c r="BM985" s="22"/>
      <c r="BN985" s="22"/>
      <c r="BO985" s="4"/>
      <c r="BP985" s="4"/>
      <c r="BQ985" s="4"/>
      <c r="BR985" s="4"/>
      <c r="BS985" s="4"/>
      <c r="BT985" s="22"/>
      <c r="BU985" s="24"/>
    </row>
    <row r="986" spans="1:73" ht="73.5" customHeight="1" outlineLevel="2">
      <c r="A986" s="44" t="s">
        <v>213</v>
      </c>
      <c r="B986" s="26" t="s">
        <v>465</v>
      </c>
      <c r="C986" s="39">
        <f t="shared" si="167"/>
        <v>509.94228000000004</v>
      </c>
      <c r="D986" s="1">
        <f t="shared" si="165"/>
        <v>327.55317</v>
      </c>
      <c r="E986" s="1">
        <f t="shared" si="166"/>
        <v>182.38911000000002</v>
      </c>
      <c r="F986" s="22"/>
      <c r="G986" s="22"/>
      <c r="H986" s="22"/>
      <c r="I986" s="22"/>
      <c r="J986" s="22"/>
      <c r="K986" s="22"/>
      <c r="L986" s="22"/>
      <c r="M986" s="22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22"/>
      <c r="AA986" s="22"/>
      <c r="AB986" s="23">
        <v>116.27356</v>
      </c>
      <c r="AC986" s="4">
        <v>50.58082</v>
      </c>
      <c r="AD986" s="22"/>
      <c r="AE986" s="22"/>
      <c r="AF986" s="22"/>
      <c r="AG986" s="22"/>
      <c r="AH986" s="20"/>
      <c r="AI986" s="4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4"/>
      <c r="BA986" s="4"/>
      <c r="BB986" s="4"/>
      <c r="BC986" s="22"/>
      <c r="BD986" s="22"/>
      <c r="BE986" s="22"/>
      <c r="BF986" s="22">
        <v>211.27961</v>
      </c>
      <c r="BG986" s="22">
        <v>131.80829</v>
      </c>
      <c r="BH986" s="22"/>
      <c r="BI986" s="22"/>
      <c r="BJ986" s="22"/>
      <c r="BK986" s="22"/>
      <c r="BL986" s="22"/>
      <c r="BM986" s="22"/>
      <c r="BN986" s="22"/>
      <c r="BO986" s="4"/>
      <c r="BP986" s="4"/>
      <c r="BQ986" s="4"/>
      <c r="BR986" s="4"/>
      <c r="BS986" s="4"/>
      <c r="BT986" s="22"/>
      <c r="BU986" s="24"/>
    </row>
    <row r="987" spans="1:73" ht="73.5" customHeight="1" outlineLevel="2">
      <c r="A987" s="44" t="s">
        <v>213</v>
      </c>
      <c r="B987" s="26" t="s">
        <v>836</v>
      </c>
      <c r="C987" s="39">
        <f>D987+E987</f>
        <v>167.32236</v>
      </c>
      <c r="D987" s="1">
        <f t="shared" si="165"/>
        <v>0</v>
      </c>
      <c r="E987" s="1">
        <f t="shared" si="166"/>
        <v>167.32236</v>
      </c>
      <c r="F987" s="22"/>
      <c r="G987" s="22"/>
      <c r="H987" s="22"/>
      <c r="I987" s="22"/>
      <c r="J987" s="22"/>
      <c r="K987" s="22"/>
      <c r="L987" s="22"/>
      <c r="M987" s="22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22"/>
      <c r="AA987" s="22"/>
      <c r="AB987" s="23"/>
      <c r="AC987" s="4"/>
      <c r="AD987" s="22"/>
      <c r="AE987" s="22"/>
      <c r="AF987" s="22"/>
      <c r="AG987" s="22"/>
      <c r="AH987" s="20"/>
      <c r="AI987" s="4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4"/>
      <c r="BA987" s="4"/>
      <c r="BB987" s="4"/>
      <c r="BC987" s="22"/>
      <c r="BD987" s="22"/>
      <c r="BE987" s="22">
        <v>167.32236</v>
      </c>
      <c r="BF987" s="22"/>
      <c r="BG987" s="22"/>
      <c r="BH987" s="22"/>
      <c r="BI987" s="22"/>
      <c r="BJ987" s="22"/>
      <c r="BK987" s="22"/>
      <c r="BL987" s="22"/>
      <c r="BM987" s="22"/>
      <c r="BN987" s="22"/>
      <c r="BO987" s="4"/>
      <c r="BP987" s="4"/>
      <c r="BQ987" s="4"/>
      <c r="BR987" s="4"/>
      <c r="BS987" s="4"/>
      <c r="BT987" s="22"/>
      <c r="BU987" s="24"/>
    </row>
    <row r="988" spans="1:73" ht="73.5" customHeight="1" outlineLevel="2" thickBot="1">
      <c r="A988" s="46" t="s">
        <v>213</v>
      </c>
      <c r="B988" s="26" t="s">
        <v>818</v>
      </c>
      <c r="C988" s="39">
        <f t="shared" si="167"/>
        <v>12.04425</v>
      </c>
      <c r="D988" s="1">
        <f t="shared" si="165"/>
        <v>0</v>
      </c>
      <c r="E988" s="1">
        <f t="shared" si="166"/>
        <v>12.04425</v>
      </c>
      <c r="F988" s="22"/>
      <c r="G988" s="22"/>
      <c r="H988" s="22"/>
      <c r="I988" s="22"/>
      <c r="J988" s="22"/>
      <c r="K988" s="22"/>
      <c r="L988" s="22"/>
      <c r="M988" s="22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22"/>
      <c r="AA988" s="22"/>
      <c r="AB988" s="4"/>
      <c r="AC988" s="4"/>
      <c r="AD988" s="22"/>
      <c r="AE988" s="22"/>
      <c r="AF988" s="22"/>
      <c r="AG988" s="22"/>
      <c r="AH988" s="20">
        <v>12.04425</v>
      </c>
      <c r="AI988" s="4"/>
      <c r="AJ988" s="22">
        <v>12.04425</v>
      </c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4"/>
      <c r="BA988" s="4"/>
      <c r="BB988" s="4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4"/>
      <c r="BP988" s="4"/>
      <c r="BQ988" s="4"/>
      <c r="BR988" s="4"/>
      <c r="BS988" s="4"/>
      <c r="BT988" s="22"/>
      <c r="BU988" s="24"/>
    </row>
    <row r="989" spans="1:74" s="35" customFormat="1" ht="73.5" customHeight="1" outlineLevel="1" thickBot="1">
      <c r="A989" s="29" t="s">
        <v>313</v>
      </c>
      <c r="B989" s="48"/>
      <c r="C989" s="49">
        <f aca="true" t="shared" si="168" ref="C989:BN989">SUBTOTAL(9,C954:C988)</f>
        <v>407728.44053</v>
      </c>
      <c r="D989" s="49">
        <f t="shared" si="168"/>
        <v>176258.54492000001</v>
      </c>
      <c r="E989" s="49">
        <f t="shared" si="168"/>
        <v>231469.89560999992</v>
      </c>
      <c r="F989" s="49">
        <f t="shared" si="168"/>
        <v>0</v>
      </c>
      <c r="G989" s="49">
        <f t="shared" si="168"/>
        <v>0</v>
      </c>
      <c r="H989" s="49">
        <f t="shared" si="168"/>
        <v>2364.87169</v>
      </c>
      <c r="I989" s="49">
        <f t="shared" si="168"/>
        <v>1583.17</v>
      </c>
      <c r="J989" s="49">
        <f t="shared" si="168"/>
        <v>6317.5741</v>
      </c>
      <c r="K989" s="49">
        <f t="shared" si="168"/>
        <v>4729.126570000001</v>
      </c>
      <c r="L989" s="49">
        <f t="shared" si="168"/>
        <v>16203.609929999999</v>
      </c>
      <c r="M989" s="49">
        <f t="shared" si="168"/>
        <v>48188.80376</v>
      </c>
      <c r="N989" s="49">
        <f t="shared" si="168"/>
        <v>0</v>
      </c>
      <c r="O989" s="49">
        <f t="shared" si="168"/>
        <v>0</v>
      </c>
      <c r="P989" s="49">
        <f t="shared" si="168"/>
        <v>111.46569</v>
      </c>
      <c r="Q989" s="49">
        <f t="shared" si="168"/>
        <v>0</v>
      </c>
      <c r="R989" s="49">
        <f t="shared" si="168"/>
        <v>25884.6131</v>
      </c>
      <c r="S989" s="49">
        <f t="shared" si="168"/>
        <v>15465.768949999998</v>
      </c>
      <c r="T989" s="49">
        <f t="shared" si="168"/>
        <v>0</v>
      </c>
      <c r="U989" s="49">
        <f t="shared" si="168"/>
        <v>0</v>
      </c>
      <c r="V989" s="49">
        <f t="shared" si="168"/>
        <v>0</v>
      </c>
      <c r="W989" s="49">
        <f t="shared" si="168"/>
        <v>0</v>
      </c>
      <c r="X989" s="49">
        <f t="shared" si="168"/>
        <v>0</v>
      </c>
      <c r="Y989" s="49">
        <f t="shared" si="168"/>
        <v>0</v>
      </c>
      <c r="Z989" s="49">
        <f t="shared" si="168"/>
        <v>3262.8880200000003</v>
      </c>
      <c r="AA989" s="49">
        <f t="shared" si="168"/>
        <v>5463.5175</v>
      </c>
      <c r="AB989" s="49">
        <f t="shared" si="168"/>
        <v>32174.789810000002</v>
      </c>
      <c r="AC989" s="49">
        <f t="shared" si="168"/>
        <v>10884.898399999996</v>
      </c>
      <c r="AD989" s="49">
        <f t="shared" si="168"/>
        <v>0</v>
      </c>
      <c r="AE989" s="49">
        <f t="shared" si="168"/>
        <v>0</v>
      </c>
      <c r="AF989" s="49">
        <f t="shared" si="168"/>
        <v>0</v>
      </c>
      <c r="AG989" s="49">
        <f t="shared" si="168"/>
        <v>0</v>
      </c>
      <c r="AH989" s="49">
        <f t="shared" si="168"/>
        <v>20584.708730000006</v>
      </c>
      <c r="AI989" s="49">
        <f t="shared" si="168"/>
        <v>9228.1435</v>
      </c>
      <c r="AJ989" s="49">
        <f t="shared" si="168"/>
        <v>11356.56523</v>
      </c>
      <c r="AK989" s="49">
        <f t="shared" si="168"/>
        <v>0</v>
      </c>
      <c r="AL989" s="49">
        <f t="shared" si="168"/>
        <v>1673.89582</v>
      </c>
      <c r="AM989" s="49">
        <f t="shared" si="168"/>
        <v>10185.26308</v>
      </c>
      <c r="AN989" s="49">
        <f t="shared" si="168"/>
        <v>3504.5555999999997</v>
      </c>
      <c r="AO989" s="49">
        <f t="shared" si="168"/>
        <v>0</v>
      </c>
      <c r="AP989" s="49">
        <f t="shared" si="168"/>
        <v>0</v>
      </c>
      <c r="AQ989" s="49">
        <f t="shared" si="168"/>
        <v>360</v>
      </c>
      <c r="AR989" s="49">
        <f t="shared" si="168"/>
        <v>0</v>
      </c>
      <c r="AS989" s="49">
        <f t="shared" si="168"/>
        <v>0</v>
      </c>
      <c r="AT989" s="49">
        <f t="shared" si="168"/>
        <v>213.21743</v>
      </c>
      <c r="AU989" s="49">
        <f t="shared" si="168"/>
        <v>475</v>
      </c>
      <c r="AV989" s="49">
        <f t="shared" si="168"/>
        <v>0</v>
      </c>
      <c r="AW989" s="49">
        <f t="shared" si="168"/>
        <v>285.33820000000003</v>
      </c>
      <c r="AX989" s="49">
        <f t="shared" si="168"/>
        <v>6040.32</v>
      </c>
      <c r="AY989" s="49">
        <f t="shared" si="168"/>
        <v>37762.61531</v>
      </c>
      <c r="AZ989" s="49">
        <f t="shared" si="168"/>
        <v>29507.91745</v>
      </c>
      <c r="BA989" s="49">
        <f t="shared" si="168"/>
        <v>0</v>
      </c>
      <c r="BB989" s="49">
        <f t="shared" si="168"/>
        <v>0</v>
      </c>
      <c r="BC989" s="49">
        <f t="shared" si="168"/>
        <v>0</v>
      </c>
      <c r="BD989" s="49">
        <f t="shared" si="168"/>
        <v>3790.232</v>
      </c>
      <c r="BE989" s="49">
        <f t="shared" si="168"/>
        <v>24213.944449999995</v>
      </c>
      <c r="BF989" s="49">
        <f t="shared" si="168"/>
        <v>58092.71237999999</v>
      </c>
      <c r="BG989" s="49">
        <f t="shared" si="168"/>
        <v>36228.10328999998</v>
      </c>
      <c r="BH989" s="49">
        <f t="shared" si="168"/>
        <v>0</v>
      </c>
      <c r="BI989" s="49">
        <f t="shared" si="168"/>
        <v>0</v>
      </c>
      <c r="BJ989" s="49">
        <f t="shared" si="168"/>
        <v>2175.51927</v>
      </c>
      <c r="BK989" s="49">
        <f t="shared" si="168"/>
        <v>0</v>
      </c>
      <c r="BL989" s="49">
        <f t="shared" si="168"/>
        <v>0</v>
      </c>
      <c r="BM989" s="49">
        <f t="shared" si="168"/>
        <v>0</v>
      </c>
      <c r="BN989" s="49">
        <f t="shared" si="168"/>
        <v>0</v>
      </c>
      <c r="BO989" s="49">
        <f aca="true" t="shared" si="169" ref="BO989:BT989">SUBTOTAL(9,BO954:BO988)</f>
        <v>0</v>
      </c>
      <c r="BP989" s="49">
        <f t="shared" si="169"/>
        <v>0</v>
      </c>
      <c r="BQ989" s="49">
        <f t="shared" si="169"/>
        <v>0</v>
      </c>
      <c r="BR989" s="49">
        <f t="shared" si="169"/>
        <v>0</v>
      </c>
      <c r="BS989" s="2">
        <f t="shared" si="169"/>
        <v>0</v>
      </c>
      <c r="BT989" s="2">
        <f t="shared" si="169"/>
        <v>0</v>
      </c>
      <c r="BU989" s="50"/>
      <c r="BV989" s="34"/>
    </row>
    <row r="990" spans="1:73" ht="73.5" customHeight="1" outlineLevel="2">
      <c r="A990" s="36" t="s">
        <v>258</v>
      </c>
      <c r="B990" s="37" t="s">
        <v>189</v>
      </c>
      <c r="C990" s="39">
        <f>D990+E990</f>
        <v>8334.77451</v>
      </c>
      <c r="D990" s="1">
        <f aca="true" t="shared" si="170" ref="D990:D1020">F990+J990+N990+R990+T990+Z990+AB990+AD990+AF990+AM990+AO990+AT990+AY990+BF990+BO990+BS990+H990+V990+X990+BQ990+AR990+BH990</f>
        <v>4230.04146</v>
      </c>
      <c r="E990" s="1">
        <f aca="true" t="shared" si="171" ref="E990:E1020">G990+I990+K990+L990+M990+O990+P990+Q990+S990+U990+W990+Y990+AA990+AC990+AE990+AG990+AH990+AK990+AL990+AN990+AP990+AQ990+AS990+AU990+AV990+AW990+AX990+AZ990+BA990+BB990+BC990+BD990+BE990+BG990+BI990+BJ990+BK990+BL990+BM990+BN990+BU990+BP990+BR990+BT990</f>
        <v>4104.73305</v>
      </c>
      <c r="F990" s="40"/>
      <c r="G990" s="40"/>
      <c r="H990" s="40">
        <v>270.10343</v>
      </c>
      <c r="I990" s="40">
        <v>20.42116</v>
      </c>
      <c r="J990" s="40"/>
      <c r="K990" s="40">
        <v>147.08966</v>
      </c>
      <c r="L990" s="40"/>
      <c r="M990" s="40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0">
        <v>148.5</v>
      </c>
      <c r="AA990" s="40">
        <v>78.813</v>
      </c>
      <c r="AB990" s="42">
        <v>966.30782</v>
      </c>
      <c r="AC990" s="41">
        <v>321.66602</v>
      </c>
      <c r="AD990" s="40"/>
      <c r="AE990" s="40"/>
      <c r="AF990" s="40"/>
      <c r="AG990" s="40"/>
      <c r="AH990" s="43">
        <f>204.75225+206.88795</f>
        <v>411.6402</v>
      </c>
      <c r="AI990" s="41">
        <v>206.88795</v>
      </c>
      <c r="AJ990" s="40">
        <v>204.75225</v>
      </c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>
        <v>1084.42648</v>
      </c>
      <c r="AZ990" s="41">
        <v>820.6147</v>
      </c>
      <c r="BA990" s="41"/>
      <c r="BB990" s="41"/>
      <c r="BC990" s="40"/>
      <c r="BD990" s="40">
        <v>50.0472</v>
      </c>
      <c r="BE990" s="40">
        <v>931.75811</v>
      </c>
      <c r="BF990" s="40">
        <v>1760.70373</v>
      </c>
      <c r="BG990" s="40">
        <f>1044.93521+53.6376</f>
        <v>1098.5728100000001</v>
      </c>
      <c r="BH990" s="40"/>
      <c r="BI990" s="40"/>
      <c r="BJ990" s="40">
        <v>224.11019</v>
      </c>
      <c r="BK990" s="40"/>
      <c r="BL990" s="40"/>
      <c r="BM990" s="40"/>
      <c r="BN990" s="40"/>
      <c r="BO990" s="41"/>
      <c r="BP990" s="41"/>
      <c r="BQ990" s="41"/>
      <c r="BR990" s="41"/>
      <c r="BS990" s="4"/>
      <c r="BT990" s="22"/>
      <c r="BU990" s="24"/>
    </row>
    <row r="991" spans="1:73" ht="73.5" customHeight="1" outlineLevel="2">
      <c r="A991" s="44" t="s">
        <v>258</v>
      </c>
      <c r="B991" s="45" t="s">
        <v>331</v>
      </c>
      <c r="C991" s="39">
        <f aca="true" t="shared" si="172" ref="C991:C1020">D991+E991</f>
        <v>112.09769</v>
      </c>
      <c r="D991" s="1">
        <f t="shared" si="170"/>
        <v>66.4942</v>
      </c>
      <c r="E991" s="1">
        <f t="shared" si="171"/>
        <v>45.60349</v>
      </c>
      <c r="F991" s="22"/>
      <c r="G991" s="22"/>
      <c r="H991" s="22"/>
      <c r="I991" s="22"/>
      <c r="J991" s="22"/>
      <c r="K991" s="22"/>
      <c r="L991" s="22"/>
      <c r="M991" s="22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22"/>
      <c r="AA991" s="22"/>
      <c r="AB991" s="23">
        <v>23.74669</v>
      </c>
      <c r="AC991" s="4">
        <v>11.65457</v>
      </c>
      <c r="AD991" s="22"/>
      <c r="AE991" s="22"/>
      <c r="AF991" s="22"/>
      <c r="AG991" s="22"/>
      <c r="AH991" s="20">
        <v>7.22655</v>
      </c>
      <c r="AI991" s="4"/>
      <c r="AJ991" s="22">
        <v>7.22655</v>
      </c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4"/>
      <c r="BA991" s="4"/>
      <c r="BB991" s="4"/>
      <c r="BC991" s="22"/>
      <c r="BD991" s="22"/>
      <c r="BE991" s="22"/>
      <c r="BF991" s="22">
        <v>42.74751</v>
      </c>
      <c r="BG991" s="22">
        <v>26.72237</v>
      </c>
      <c r="BH991" s="22"/>
      <c r="BI991" s="22"/>
      <c r="BJ991" s="22"/>
      <c r="BK991" s="22"/>
      <c r="BL991" s="22"/>
      <c r="BM991" s="22"/>
      <c r="BN991" s="22"/>
      <c r="BO991" s="4"/>
      <c r="BP991" s="4"/>
      <c r="BQ991" s="4"/>
      <c r="BR991" s="4"/>
      <c r="BS991" s="4"/>
      <c r="BT991" s="22"/>
      <c r="BU991" s="24"/>
    </row>
    <row r="992" spans="1:73" ht="73.5" customHeight="1" outlineLevel="2">
      <c r="A992" s="44" t="s">
        <v>258</v>
      </c>
      <c r="B992" s="26" t="s">
        <v>250</v>
      </c>
      <c r="C992" s="39">
        <f t="shared" si="172"/>
        <v>385.29377999999997</v>
      </c>
      <c r="D992" s="1">
        <f t="shared" si="170"/>
        <v>225.79790999999997</v>
      </c>
      <c r="E992" s="1">
        <f t="shared" si="171"/>
        <v>159.49587</v>
      </c>
      <c r="F992" s="22"/>
      <c r="G992" s="22"/>
      <c r="H992" s="22">
        <v>15.07289</v>
      </c>
      <c r="I992" s="22">
        <v>8.97138</v>
      </c>
      <c r="J992" s="22"/>
      <c r="K992" s="22"/>
      <c r="L992" s="22"/>
      <c r="M992" s="22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22"/>
      <c r="AA992" s="22"/>
      <c r="AB992" s="23">
        <v>78.88774</v>
      </c>
      <c r="AC992" s="4">
        <v>36.82843</v>
      </c>
      <c r="AD992" s="22"/>
      <c r="AE992" s="22"/>
      <c r="AF992" s="22"/>
      <c r="AG992" s="22"/>
      <c r="AH992" s="20">
        <v>31.31505</v>
      </c>
      <c r="AI992" s="4"/>
      <c r="AJ992" s="20">
        <v>31.31505</v>
      </c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4"/>
      <c r="BA992" s="4"/>
      <c r="BB992" s="4"/>
      <c r="BC992" s="22"/>
      <c r="BD992" s="22"/>
      <c r="BE992" s="22"/>
      <c r="BF992" s="22">
        <v>131.83728</v>
      </c>
      <c r="BG992" s="22">
        <v>82.38101</v>
      </c>
      <c r="BH992" s="22"/>
      <c r="BI992" s="22"/>
      <c r="BJ992" s="22"/>
      <c r="BK992" s="22"/>
      <c r="BL992" s="22"/>
      <c r="BM992" s="22"/>
      <c r="BN992" s="22"/>
      <c r="BO992" s="4"/>
      <c r="BP992" s="4"/>
      <c r="BQ992" s="4"/>
      <c r="BR992" s="4"/>
      <c r="BS992" s="4"/>
      <c r="BT992" s="22"/>
      <c r="BU992" s="24"/>
    </row>
    <row r="993" spans="1:73" ht="73.5" customHeight="1" outlineLevel="2">
      <c r="A993" s="44" t="s">
        <v>258</v>
      </c>
      <c r="B993" s="26" t="s">
        <v>493</v>
      </c>
      <c r="C993" s="39">
        <f t="shared" si="172"/>
        <v>496.67283000000003</v>
      </c>
      <c r="D993" s="1">
        <f t="shared" si="170"/>
        <v>268.16327</v>
      </c>
      <c r="E993" s="1">
        <f t="shared" si="171"/>
        <v>228.50956000000002</v>
      </c>
      <c r="F993" s="22"/>
      <c r="G993" s="22"/>
      <c r="H993" s="22"/>
      <c r="I993" s="22"/>
      <c r="J993" s="22"/>
      <c r="K993" s="22"/>
      <c r="L993" s="22"/>
      <c r="M993" s="22"/>
      <c r="N993" s="4"/>
      <c r="O993" s="4"/>
      <c r="P993" s="4"/>
      <c r="Q993" s="4"/>
      <c r="R993" s="4">
        <v>10.20429</v>
      </c>
      <c r="S993" s="4">
        <v>11.59364</v>
      </c>
      <c r="T993" s="4"/>
      <c r="U993" s="4"/>
      <c r="V993" s="4"/>
      <c r="W993" s="4"/>
      <c r="X993" s="4"/>
      <c r="Y993" s="4"/>
      <c r="Z993" s="22"/>
      <c r="AA993" s="22"/>
      <c r="AB993" s="23">
        <v>99.65087</v>
      </c>
      <c r="AC993" s="4">
        <v>38.92625</v>
      </c>
      <c r="AD993" s="22"/>
      <c r="AE993" s="22"/>
      <c r="AF993" s="22"/>
      <c r="AG993" s="22"/>
      <c r="AH993" s="20">
        <v>36.13275</v>
      </c>
      <c r="AI993" s="4"/>
      <c r="AJ993" s="20">
        <v>36.13275</v>
      </c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4"/>
      <c r="BA993" s="4"/>
      <c r="BB993" s="4"/>
      <c r="BC993" s="22"/>
      <c r="BD993" s="22"/>
      <c r="BE993" s="22">
        <v>43</v>
      </c>
      <c r="BF993" s="22">
        <v>158.30811</v>
      </c>
      <c r="BG993" s="22">
        <v>98.85692</v>
      </c>
      <c r="BH993" s="22"/>
      <c r="BI993" s="22"/>
      <c r="BJ993" s="22"/>
      <c r="BK993" s="22"/>
      <c r="BL993" s="22"/>
      <c r="BM993" s="22"/>
      <c r="BN993" s="22"/>
      <c r="BO993" s="4"/>
      <c r="BP993" s="4"/>
      <c r="BQ993" s="4"/>
      <c r="BR993" s="4"/>
      <c r="BS993" s="4"/>
      <c r="BT993" s="22"/>
      <c r="BU993" s="24"/>
    </row>
    <row r="994" spans="1:73" ht="73.5" customHeight="1" outlineLevel="2">
      <c r="A994" s="46" t="s">
        <v>258</v>
      </c>
      <c r="B994" s="45" t="s">
        <v>333</v>
      </c>
      <c r="C994" s="39">
        <f t="shared" si="172"/>
        <v>505.76383</v>
      </c>
      <c r="D994" s="1">
        <f t="shared" si="170"/>
        <v>274.5272</v>
      </c>
      <c r="E994" s="1">
        <f t="shared" si="171"/>
        <v>231.23663</v>
      </c>
      <c r="F994" s="22"/>
      <c r="G994" s="22"/>
      <c r="H994" s="22"/>
      <c r="I994" s="22"/>
      <c r="J994" s="22">
        <v>35.49821</v>
      </c>
      <c r="K994" s="22">
        <v>16.27142</v>
      </c>
      <c r="L994" s="22">
        <f>31.00999+2.85457</f>
        <v>33.86456</v>
      </c>
      <c r="M994" s="22"/>
      <c r="N994" s="4"/>
      <c r="O994" s="4"/>
      <c r="P994" s="4"/>
      <c r="Q994" s="4"/>
      <c r="R994" s="4">
        <v>8.39337</v>
      </c>
      <c r="S994" s="4">
        <v>12.46458</v>
      </c>
      <c r="T994" s="4"/>
      <c r="U994" s="4"/>
      <c r="V994" s="4"/>
      <c r="W994" s="4"/>
      <c r="X994" s="4"/>
      <c r="Y994" s="4"/>
      <c r="Z994" s="22">
        <v>20.85095</v>
      </c>
      <c r="AA994" s="22">
        <v>26.2035</v>
      </c>
      <c r="AB994" s="23">
        <v>75.18569</v>
      </c>
      <c r="AC994" s="4">
        <v>34.26442</v>
      </c>
      <c r="AD994" s="22"/>
      <c r="AE994" s="22"/>
      <c r="AF994" s="22"/>
      <c r="AG994" s="22"/>
      <c r="AH994" s="20">
        <v>24.0885</v>
      </c>
      <c r="AI994" s="4"/>
      <c r="AJ994" s="22">
        <v>24.0885</v>
      </c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4"/>
      <c r="BA994" s="4"/>
      <c r="BB994" s="4"/>
      <c r="BC994" s="22"/>
      <c r="BD994" s="22"/>
      <c r="BE994" s="22"/>
      <c r="BF994" s="22">
        <v>134.59898</v>
      </c>
      <c r="BG994" s="22">
        <v>84.07965</v>
      </c>
      <c r="BH994" s="22"/>
      <c r="BI994" s="22"/>
      <c r="BJ994" s="22"/>
      <c r="BK994" s="22"/>
      <c r="BL994" s="22"/>
      <c r="BM994" s="22"/>
      <c r="BN994" s="22"/>
      <c r="BO994" s="4"/>
      <c r="BP994" s="4"/>
      <c r="BQ994" s="4"/>
      <c r="BR994" s="4"/>
      <c r="BS994" s="4"/>
      <c r="BT994" s="22"/>
      <c r="BU994" s="24"/>
    </row>
    <row r="995" spans="1:73" ht="73.5" customHeight="1" outlineLevel="2">
      <c r="A995" s="44" t="s">
        <v>258</v>
      </c>
      <c r="B995" s="26" t="s">
        <v>334</v>
      </c>
      <c r="C995" s="39">
        <f t="shared" si="172"/>
        <v>2624.9880299999995</v>
      </c>
      <c r="D995" s="1">
        <f t="shared" si="170"/>
        <v>1474.72147</v>
      </c>
      <c r="E995" s="1">
        <f t="shared" si="171"/>
        <v>1150.2665599999998</v>
      </c>
      <c r="F995" s="22"/>
      <c r="G995" s="22"/>
      <c r="H995" s="22"/>
      <c r="I995" s="22"/>
      <c r="J995" s="22">
        <v>478.6239</v>
      </c>
      <c r="K995" s="22">
        <v>166.94542</v>
      </c>
      <c r="L995" s="22">
        <f>232.5244+21.3728</f>
        <v>253.89720000000003</v>
      </c>
      <c r="M995" s="22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22">
        <v>67.5</v>
      </c>
      <c r="AA995" s="22">
        <v>35.8425</v>
      </c>
      <c r="AB995" s="23">
        <v>358.02709</v>
      </c>
      <c r="AC995" s="4">
        <v>139.85479</v>
      </c>
      <c r="AD995" s="22"/>
      <c r="AE995" s="22"/>
      <c r="AF995" s="22"/>
      <c r="AG995" s="22"/>
      <c r="AH995" s="20">
        <f>91.5363+68.96265</f>
        <v>160.49894999999998</v>
      </c>
      <c r="AI995" s="4">
        <v>68.96265</v>
      </c>
      <c r="AJ995" s="22">
        <v>91.5363</v>
      </c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4"/>
      <c r="BA995" s="4"/>
      <c r="BB995" s="4"/>
      <c r="BC995" s="22"/>
      <c r="BD995" s="22"/>
      <c r="BE995" s="22"/>
      <c r="BF995" s="22">
        <v>570.57048</v>
      </c>
      <c r="BG995" s="22">
        <v>355.97274</v>
      </c>
      <c r="BH995" s="22"/>
      <c r="BI995" s="22"/>
      <c r="BJ995" s="22">
        <v>37.25496</v>
      </c>
      <c r="BK995" s="22"/>
      <c r="BL995" s="22"/>
      <c r="BM995" s="22"/>
      <c r="BN995" s="22"/>
      <c r="BO995" s="4"/>
      <c r="BP995" s="4"/>
      <c r="BQ995" s="4"/>
      <c r="BR995" s="4"/>
      <c r="BS995" s="4"/>
      <c r="BT995" s="22"/>
      <c r="BU995" s="24"/>
    </row>
    <row r="996" spans="1:73" ht="73.5" customHeight="1" outlineLevel="2">
      <c r="A996" s="44" t="s">
        <v>258</v>
      </c>
      <c r="B996" s="26" t="s">
        <v>492</v>
      </c>
      <c r="C996" s="39">
        <f t="shared" si="172"/>
        <v>32.4639</v>
      </c>
      <c r="D996" s="1">
        <f t="shared" si="170"/>
        <v>20.47859</v>
      </c>
      <c r="E996" s="1">
        <f t="shared" si="171"/>
        <v>11.98531</v>
      </c>
      <c r="F996" s="22"/>
      <c r="G996" s="22"/>
      <c r="H996" s="22"/>
      <c r="I996" s="22"/>
      <c r="J996" s="22"/>
      <c r="K996" s="22"/>
      <c r="L996" s="22"/>
      <c r="M996" s="22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22"/>
      <c r="AA996" s="22"/>
      <c r="AB996" s="23">
        <v>7.65983</v>
      </c>
      <c r="AC996" s="4">
        <v>3.96255</v>
      </c>
      <c r="AD996" s="22"/>
      <c r="AE996" s="22"/>
      <c r="AF996" s="22"/>
      <c r="AG996" s="22"/>
      <c r="AH996" s="20"/>
      <c r="AI996" s="4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4"/>
      <c r="BA996" s="4"/>
      <c r="BB996" s="4"/>
      <c r="BC996" s="22"/>
      <c r="BD996" s="22"/>
      <c r="BE996" s="22"/>
      <c r="BF996" s="22">
        <v>12.81876</v>
      </c>
      <c r="BG996" s="22">
        <v>8.02276</v>
      </c>
      <c r="BH996" s="22"/>
      <c r="BI996" s="22"/>
      <c r="BJ996" s="22"/>
      <c r="BK996" s="22"/>
      <c r="BL996" s="22"/>
      <c r="BM996" s="22"/>
      <c r="BN996" s="22"/>
      <c r="BO996" s="4"/>
      <c r="BP996" s="4"/>
      <c r="BQ996" s="4"/>
      <c r="BR996" s="4"/>
      <c r="BS996" s="4"/>
      <c r="BT996" s="22"/>
      <c r="BU996" s="24"/>
    </row>
    <row r="997" spans="1:73" ht="73.5" customHeight="1" outlineLevel="2">
      <c r="A997" s="44" t="s">
        <v>258</v>
      </c>
      <c r="B997" s="26" t="s">
        <v>332</v>
      </c>
      <c r="C997" s="39">
        <f t="shared" si="172"/>
        <v>2607.74045</v>
      </c>
      <c r="D997" s="1">
        <f t="shared" si="170"/>
        <v>1317.0483399999998</v>
      </c>
      <c r="E997" s="1">
        <f t="shared" si="171"/>
        <v>1290.69211</v>
      </c>
      <c r="F997" s="22"/>
      <c r="G997" s="22"/>
      <c r="H997" s="22"/>
      <c r="I997" s="22"/>
      <c r="J997" s="22">
        <v>221.8386</v>
      </c>
      <c r="K997" s="22">
        <v>67.68752</v>
      </c>
      <c r="L997" s="22">
        <f>287.38622+26.41017</f>
        <v>313.79639</v>
      </c>
      <c r="M997" s="22"/>
      <c r="N997" s="4"/>
      <c r="O997" s="4"/>
      <c r="P997" s="4">
        <v>17.26803</v>
      </c>
      <c r="Q997" s="4"/>
      <c r="R997" s="4"/>
      <c r="S997" s="4"/>
      <c r="T997" s="4"/>
      <c r="U997" s="4"/>
      <c r="V997" s="4"/>
      <c r="W997" s="4"/>
      <c r="X997" s="4"/>
      <c r="Y997" s="4"/>
      <c r="Z997" s="22">
        <v>26.06368</v>
      </c>
      <c r="AA997" s="22">
        <v>35.8425</v>
      </c>
      <c r="AB997" s="23">
        <v>545.99132</v>
      </c>
      <c r="AC997" s="4">
        <v>213.27856</v>
      </c>
      <c r="AD997" s="22"/>
      <c r="AE997" s="22"/>
      <c r="AF997" s="22"/>
      <c r="AG997" s="22"/>
      <c r="AH997" s="20">
        <f>113.21595+110.1914</f>
        <v>223.40735</v>
      </c>
      <c r="AI997" s="4">
        <v>110.1914</v>
      </c>
      <c r="AJ997" s="22">
        <v>113.21595</v>
      </c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4"/>
      <c r="BA997" s="4"/>
      <c r="BB997" s="4"/>
      <c r="BC997" s="22"/>
      <c r="BD997" s="22"/>
      <c r="BE997" s="22"/>
      <c r="BF997" s="22">
        <v>523.15474</v>
      </c>
      <c r="BG997" s="22">
        <v>326.6748</v>
      </c>
      <c r="BH997" s="22"/>
      <c r="BI997" s="22"/>
      <c r="BJ997" s="22">
        <v>92.73696</v>
      </c>
      <c r="BK997" s="22"/>
      <c r="BL997" s="22"/>
      <c r="BM997" s="22"/>
      <c r="BN997" s="22"/>
      <c r="BO997" s="4"/>
      <c r="BP997" s="4"/>
      <c r="BQ997" s="4"/>
      <c r="BR997" s="4"/>
      <c r="BS997" s="4"/>
      <c r="BT997" s="22"/>
      <c r="BU997" s="24"/>
    </row>
    <row r="998" spans="1:73" ht="73.5" customHeight="1" outlineLevel="2">
      <c r="A998" s="44" t="s">
        <v>258</v>
      </c>
      <c r="B998" s="26" t="s">
        <v>337</v>
      </c>
      <c r="C998" s="39">
        <f t="shared" si="172"/>
        <v>2292.20048</v>
      </c>
      <c r="D998" s="1">
        <f t="shared" si="170"/>
        <v>1391.75847</v>
      </c>
      <c r="E998" s="1">
        <f t="shared" si="171"/>
        <v>900.44201</v>
      </c>
      <c r="F998" s="22"/>
      <c r="G998" s="22"/>
      <c r="H998" s="22"/>
      <c r="I998" s="22"/>
      <c r="J998" s="22">
        <v>642.37818</v>
      </c>
      <c r="K998" s="22">
        <v>256.64916</v>
      </c>
      <c r="L998" s="22">
        <f>76.58256+7.03919</f>
        <v>83.62175</v>
      </c>
      <c r="M998" s="22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22"/>
      <c r="AA998" s="22">
        <v>40.7835</v>
      </c>
      <c r="AB998" s="23">
        <v>274.00033</v>
      </c>
      <c r="AC998" s="4">
        <v>116.54566</v>
      </c>
      <c r="AD998" s="22"/>
      <c r="AE998" s="22"/>
      <c r="AF998" s="22"/>
      <c r="AG998" s="22"/>
      <c r="AH998" s="20">
        <v>105.9894</v>
      </c>
      <c r="AI998" s="4"/>
      <c r="AJ998" s="22">
        <v>105.9894</v>
      </c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4"/>
      <c r="BA998" s="4"/>
      <c r="BB998" s="4"/>
      <c r="BC998" s="22"/>
      <c r="BD998" s="22"/>
      <c r="BE998" s="22"/>
      <c r="BF998" s="22">
        <v>475.37996</v>
      </c>
      <c r="BG998" s="22">
        <v>296.85254</v>
      </c>
      <c r="BH998" s="22"/>
      <c r="BI998" s="22"/>
      <c r="BJ998" s="22"/>
      <c r="BK998" s="22"/>
      <c r="BL998" s="22"/>
      <c r="BM998" s="22"/>
      <c r="BN998" s="22"/>
      <c r="BO998" s="4"/>
      <c r="BP998" s="4"/>
      <c r="BQ998" s="4"/>
      <c r="BR998" s="4"/>
      <c r="BS998" s="4"/>
      <c r="BT998" s="22"/>
      <c r="BU998" s="24"/>
    </row>
    <row r="999" spans="1:73" ht="73.5" customHeight="1" outlineLevel="2">
      <c r="A999" s="46" t="s">
        <v>258</v>
      </c>
      <c r="B999" s="45" t="s">
        <v>335</v>
      </c>
      <c r="C999" s="39">
        <f t="shared" si="172"/>
        <v>957.46246</v>
      </c>
      <c r="D999" s="1">
        <f t="shared" si="170"/>
        <v>519.16899</v>
      </c>
      <c r="E999" s="1">
        <f t="shared" si="171"/>
        <v>438.29346999999996</v>
      </c>
      <c r="F999" s="22"/>
      <c r="G999" s="22"/>
      <c r="H999" s="22"/>
      <c r="I999" s="22"/>
      <c r="J999" s="22">
        <v>66.98366</v>
      </c>
      <c r="K999" s="22">
        <v>7.30541</v>
      </c>
      <c r="L999" s="22"/>
      <c r="M999" s="22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22"/>
      <c r="AA999" s="22">
        <v>23.895</v>
      </c>
      <c r="AB999" s="23">
        <v>231.80428</v>
      </c>
      <c r="AC999" s="4">
        <v>98.59763</v>
      </c>
      <c r="AD999" s="22"/>
      <c r="AE999" s="22"/>
      <c r="AF999" s="22"/>
      <c r="AG999" s="22"/>
      <c r="AH999" s="20">
        <f>50.58585+61.8332</f>
        <v>112.41905</v>
      </c>
      <c r="AI999" s="4">
        <v>61.8332</v>
      </c>
      <c r="AJ999" s="22">
        <v>50.58585</v>
      </c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4"/>
      <c r="BA999" s="4"/>
      <c r="BB999" s="4"/>
      <c r="BC999" s="22"/>
      <c r="BD999" s="22"/>
      <c r="BE999" s="22">
        <v>58.45</v>
      </c>
      <c r="BF999" s="22">
        <v>220.38105</v>
      </c>
      <c r="BG999" s="22">
        <v>137.62638</v>
      </c>
      <c r="BH999" s="22"/>
      <c r="BI999" s="22"/>
      <c r="BJ999" s="22"/>
      <c r="BK999" s="22"/>
      <c r="BL999" s="22"/>
      <c r="BM999" s="22"/>
      <c r="BN999" s="22"/>
      <c r="BO999" s="4"/>
      <c r="BP999" s="4"/>
      <c r="BQ999" s="4"/>
      <c r="BR999" s="4"/>
      <c r="BS999" s="4"/>
      <c r="BT999" s="22"/>
      <c r="BU999" s="24"/>
    </row>
    <row r="1000" spans="1:73" ht="73.5" customHeight="1" outlineLevel="2">
      <c r="A1000" s="44" t="s">
        <v>258</v>
      </c>
      <c r="B1000" s="26" t="s">
        <v>154</v>
      </c>
      <c r="C1000" s="39">
        <f t="shared" si="172"/>
        <v>4603.279140000001</v>
      </c>
      <c r="D1000" s="1">
        <f t="shared" si="170"/>
        <v>1994.56912</v>
      </c>
      <c r="E1000" s="1">
        <f t="shared" si="171"/>
        <v>2608.71002</v>
      </c>
      <c r="F1000" s="22"/>
      <c r="G1000" s="22"/>
      <c r="H1000" s="22"/>
      <c r="I1000" s="22"/>
      <c r="J1000" s="22">
        <v>328.47966</v>
      </c>
      <c r="K1000" s="22">
        <v>132.71384</v>
      </c>
      <c r="L1000" s="22"/>
      <c r="M1000" s="22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22">
        <v>77.22573</v>
      </c>
      <c r="AA1000" s="22">
        <v>138.0015</v>
      </c>
      <c r="AB1000" s="23">
        <v>667.63528</v>
      </c>
      <c r="AC1000" s="4">
        <v>228.1964</v>
      </c>
      <c r="AD1000" s="22"/>
      <c r="AE1000" s="22"/>
      <c r="AF1000" s="22"/>
      <c r="AG1000" s="22"/>
      <c r="AH1000" s="20">
        <f>178.2549+193.021</f>
        <v>371.2759</v>
      </c>
      <c r="AI1000" s="4">
        <v>193.021</v>
      </c>
      <c r="AJ1000" s="22">
        <v>178.2549</v>
      </c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4"/>
      <c r="BA1000" s="4"/>
      <c r="BB1000" s="4"/>
      <c r="BC1000" s="22"/>
      <c r="BD1000" s="22"/>
      <c r="BE1000" s="22">
        <v>1163.17674</v>
      </c>
      <c r="BF1000" s="22">
        <v>921.22845</v>
      </c>
      <c r="BG1000" s="22">
        <f>356.37875+218.96689</f>
        <v>575.34564</v>
      </c>
      <c r="BH1000" s="22"/>
      <c r="BI1000" s="22"/>
      <c r="BJ1000" s="22"/>
      <c r="BK1000" s="22"/>
      <c r="BL1000" s="22"/>
      <c r="BM1000" s="22"/>
      <c r="BN1000" s="22"/>
      <c r="BO1000" s="4"/>
      <c r="BP1000" s="4"/>
      <c r="BQ1000" s="4"/>
      <c r="BR1000" s="4"/>
      <c r="BS1000" s="4"/>
      <c r="BT1000" s="22"/>
      <c r="BU1000" s="24"/>
    </row>
    <row r="1001" spans="1:73" ht="73.5" customHeight="1" outlineLevel="2">
      <c r="A1001" s="44" t="s">
        <v>258</v>
      </c>
      <c r="B1001" s="26" t="s">
        <v>336</v>
      </c>
      <c r="C1001" s="39">
        <f t="shared" si="172"/>
        <v>1306.43533</v>
      </c>
      <c r="D1001" s="1">
        <f t="shared" si="170"/>
        <v>393.39695</v>
      </c>
      <c r="E1001" s="1">
        <f t="shared" si="171"/>
        <v>913.0383800000001</v>
      </c>
      <c r="F1001" s="22"/>
      <c r="G1001" s="22"/>
      <c r="H1001" s="22"/>
      <c r="I1001" s="22"/>
      <c r="J1001" s="22">
        <v>53.21868</v>
      </c>
      <c r="K1001" s="22">
        <v>7.30541</v>
      </c>
      <c r="L1001" s="22"/>
      <c r="M1001" s="22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22"/>
      <c r="AA1001" s="22">
        <v>35.8425</v>
      </c>
      <c r="AB1001" s="23">
        <v>119.17188</v>
      </c>
      <c r="AC1001" s="4">
        <v>54.31028</v>
      </c>
      <c r="AD1001" s="22"/>
      <c r="AE1001" s="22"/>
      <c r="AF1001" s="22"/>
      <c r="AG1001" s="22"/>
      <c r="AH1001" s="20">
        <f>50.58585+61.8332</f>
        <v>112.41905</v>
      </c>
      <c r="AI1001" s="4">
        <v>61.8332</v>
      </c>
      <c r="AJ1001" s="22">
        <v>50.58585</v>
      </c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4"/>
      <c r="BA1001" s="4"/>
      <c r="BB1001" s="4"/>
      <c r="BC1001" s="22"/>
      <c r="BD1001" s="22"/>
      <c r="BE1001" s="22">
        <v>565.148</v>
      </c>
      <c r="BF1001" s="22">
        <v>221.00639</v>
      </c>
      <c r="BG1001" s="22">
        <v>138.01314</v>
      </c>
      <c r="BH1001" s="22"/>
      <c r="BI1001" s="22"/>
      <c r="BJ1001" s="22"/>
      <c r="BK1001" s="22"/>
      <c r="BL1001" s="22"/>
      <c r="BM1001" s="22"/>
      <c r="BN1001" s="22"/>
      <c r="BO1001" s="4"/>
      <c r="BP1001" s="4"/>
      <c r="BQ1001" s="4"/>
      <c r="BR1001" s="4"/>
      <c r="BS1001" s="4"/>
      <c r="BT1001" s="22"/>
      <c r="BU1001" s="24"/>
    </row>
    <row r="1002" spans="1:73" ht="73.5" customHeight="1" outlineLevel="2">
      <c r="A1002" s="44" t="s">
        <v>258</v>
      </c>
      <c r="B1002" s="26" t="s">
        <v>109</v>
      </c>
      <c r="C1002" s="39">
        <f t="shared" si="172"/>
        <v>405.71424</v>
      </c>
      <c r="D1002" s="1">
        <f t="shared" si="170"/>
        <v>251.70764</v>
      </c>
      <c r="E1002" s="1">
        <f t="shared" si="171"/>
        <v>154.0066</v>
      </c>
      <c r="F1002" s="22"/>
      <c r="G1002" s="22"/>
      <c r="H1002" s="22">
        <v>33.78212</v>
      </c>
      <c r="I1002" s="22">
        <v>18.97752</v>
      </c>
      <c r="J1002" s="22"/>
      <c r="K1002" s="22"/>
      <c r="L1002" s="22"/>
      <c r="M1002" s="22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22"/>
      <c r="AA1002" s="22"/>
      <c r="AB1002" s="23">
        <v>87.44873</v>
      </c>
      <c r="AC1002" s="4">
        <v>38.92625</v>
      </c>
      <c r="AD1002" s="22"/>
      <c r="AE1002" s="22"/>
      <c r="AF1002" s="22"/>
      <c r="AG1002" s="22"/>
      <c r="AH1002" s="20">
        <v>14.4531</v>
      </c>
      <c r="AI1002" s="4"/>
      <c r="AJ1002" s="20">
        <v>14.4531</v>
      </c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4"/>
      <c r="BA1002" s="4"/>
      <c r="BB1002" s="4"/>
      <c r="BC1002" s="22"/>
      <c r="BD1002" s="22"/>
      <c r="BE1002" s="22"/>
      <c r="BF1002" s="22">
        <f>139.81129-9.3345</f>
        <v>130.47679000000002</v>
      </c>
      <c r="BG1002" s="22">
        <f>87.51123-5.8615</f>
        <v>81.64972999999999</v>
      </c>
      <c r="BH1002" s="22"/>
      <c r="BI1002" s="22"/>
      <c r="BJ1002" s="22"/>
      <c r="BK1002" s="22"/>
      <c r="BL1002" s="22"/>
      <c r="BM1002" s="22"/>
      <c r="BN1002" s="22"/>
      <c r="BO1002" s="4"/>
      <c r="BP1002" s="4"/>
      <c r="BQ1002" s="4"/>
      <c r="BR1002" s="4"/>
      <c r="BS1002" s="4"/>
      <c r="BT1002" s="22"/>
      <c r="BU1002" s="24"/>
    </row>
    <row r="1003" spans="1:73" ht="73.5" customHeight="1" outlineLevel="2">
      <c r="A1003" s="44" t="s">
        <v>258</v>
      </c>
      <c r="B1003" s="26" t="s">
        <v>491</v>
      </c>
      <c r="C1003" s="39">
        <f t="shared" si="172"/>
        <v>1068.70292</v>
      </c>
      <c r="D1003" s="1">
        <f t="shared" si="170"/>
        <v>565.69236</v>
      </c>
      <c r="E1003" s="1">
        <f t="shared" si="171"/>
        <v>503.01056</v>
      </c>
      <c r="F1003" s="22"/>
      <c r="G1003" s="22"/>
      <c r="H1003" s="22"/>
      <c r="I1003" s="22"/>
      <c r="J1003" s="22"/>
      <c r="K1003" s="22"/>
      <c r="L1003" s="22"/>
      <c r="M1003" s="22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22">
        <v>58.5</v>
      </c>
      <c r="AA1003" s="22">
        <v>33.534</v>
      </c>
      <c r="AB1003" s="23">
        <v>102.34217</v>
      </c>
      <c r="AC1003" s="4">
        <v>44.52044</v>
      </c>
      <c r="AD1003" s="22"/>
      <c r="AE1003" s="22"/>
      <c r="AF1003" s="22"/>
      <c r="AG1003" s="22"/>
      <c r="AH1003" s="20">
        <f>62.6301+60.7169</f>
        <v>123.34700000000001</v>
      </c>
      <c r="AI1003" s="4">
        <v>60.7169</v>
      </c>
      <c r="AJ1003" s="22">
        <v>62.6301</v>
      </c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4"/>
      <c r="BA1003" s="4"/>
      <c r="BB1003" s="4"/>
      <c r="BC1003" s="22"/>
      <c r="BD1003" s="22"/>
      <c r="BE1003" s="22">
        <v>48.73763</v>
      </c>
      <c r="BF1003" s="22">
        <v>404.85019</v>
      </c>
      <c r="BG1003" s="22">
        <v>252.87149</v>
      </c>
      <c r="BH1003" s="22"/>
      <c r="BI1003" s="22"/>
      <c r="BJ1003" s="22"/>
      <c r="BK1003" s="22"/>
      <c r="BL1003" s="22"/>
      <c r="BM1003" s="22"/>
      <c r="BN1003" s="22"/>
      <c r="BO1003" s="4"/>
      <c r="BP1003" s="4"/>
      <c r="BQ1003" s="4"/>
      <c r="BR1003" s="4"/>
      <c r="BS1003" s="4"/>
      <c r="BT1003" s="22"/>
      <c r="BU1003" s="24"/>
    </row>
    <row r="1004" spans="1:73" ht="73.5" customHeight="1" outlineLevel="2">
      <c r="A1004" s="44" t="s">
        <v>258</v>
      </c>
      <c r="B1004" s="26" t="s">
        <v>1091</v>
      </c>
      <c r="C1004" s="39">
        <f t="shared" si="172"/>
        <v>175.42694</v>
      </c>
      <c r="D1004" s="1">
        <f t="shared" si="170"/>
        <v>92.03934000000001</v>
      </c>
      <c r="E1004" s="1">
        <f t="shared" si="171"/>
        <v>83.38759999999999</v>
      </c>
      <c r="F1004" s="22"/>
      <c r="G1004" s="22"/>
      <c r="H1004" s="22"/>
      <c r="I1004" s="22"/>
      <c r="J1004" s="22"/>
      <c r="K1004" s="22"/>
      <c r="L1004" s="22"/>
      <c r="M1004" s="22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22"/>
      <c r="AA1004" s="22"/>
      <c r="AB1004" s="23">
        <v>38.57925</v>
      </c>
      <c r="AC1004" s="4">
        <v>18.64731</v>
      </c>
      <c r="AD1004" s="22"/>
      <c r="AE1004" s="22"/>
      <c r="AF1004" s="22"/>
      <c r="AG1004" s="22"/>
      <c r="AH1004" s="20">
        <f>14.4531+16.8636</f>
        <v>31.3167</v>
      </c>
      <c r="AI1004" s="4">
        <v>16.8636</v>
      </c>
      <c r="AJ1004" s="22">
        <v>14.4531</v>
      </c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4"/>
      <c r="BA1004" s="4"/>
      <c r="BB1004" s="4"/>
      <c r="BC1004" s="22"/>
      <c r="BD1004" s="22"/>
      <c r="BE1004" s="22"/>
      <c r="BF1004" s="22">
        <v>53.46009</v>
      </c>
      <c r="BG1004" s="22">
        <v>33.42359</v>
      </c>
      <c r="BH1004" s="22"/>
      <c r="BI1004" s="22"/>
      <c r="BJ1004" s="22"/>
      <c r="BK1004" s="22"/>
      <c r="BL1004" s="22"/>
      <c r="BM1004" s="22"/>
      <c r="BN1004" s="22"/>
      <c r="BO1004" s="4"/>
      <c r="BP1004" s="4"/>
      <c r="BQ1004" s="4"/>
      <c r="BR1004" s="4"/>
      <c r="BS1004" s="4"/>
      <c r="BT1004" s="22"/>
      <c r="BU1004" s="24"/>
    </row>
    <row r="1005" spans="1:73" ht="73.5" customHeight="1" outlineLevel="2">
      <c r="A1005" s="26" t="s">
        <v>258</v>
      </c>
      <c r="B1005" s="27" t="s">
        <v>1092</v>
      </c>
      <c r="C1005" s="39">
        <f t="shared" si="172"/>
        <v>56.48123</v>
      </c>
      <c r="D1005" s="1">
        <f t="shared" si="170"/>
        <v>32.8392</v>
      </c>
      <c r="E1005" s="1">
        <f t="shared" si="171"/>
        <v>23.642030000000002</v>
      </c>
      <c r="F1005" s="22"/>
      <c r="G1005" s="22"/>
      <c r="H1005" s="22"/>
      <c r="I1005" s="22"/>
      <c r="J1005" s="22"/>
      <c r="K1005" s="22"/>
      <c r="L1005" s="22"/>
      <c r="M1005" s="22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22"/>
      <c r="AA1005" s="22"/>
      <c r="AB1005" s="23">
        <v>12.82322</v>
      </c>
      <c r="AC1005" s="4">
        <v>6.29347</v>
      </c>
      <c r="AD1005" s="22"/>
      <c r="AE1005" s="22"/>
      <c r="AF1005" s="22"/>
      <c r="AG1005" s="22"/>
      <c r="AH1005" s="20">
        <v>4.8177</v>
      </c>
      <c r="AI1005" s="4"/>
      <c r="AJ1005" s="22">
        <v>4.8177</v>
      </c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4"/>
      <c r="BA1005" s="4"/>
      <c r="BB1005" s="4"/>
      <c r="BC1005" s="22"/>
      <c r="BD1005" s="22"/>
      <c r="BE1005" s="22"/>
      <c r="BF1005" s="22">
        <v>20.01598</v>
      </c>
      <c r="BG1005" s="22">
        <v>12.53086</v>
      </c>
      <c r="BH1005" s="22"/>
      <c r="BI1005" s="22"/>
      <c r="BJ1005" s="22"/>
      <c r="BK1005" s="22"/>
      <c r="BL1005" s="22"/>
      <c r="BM1005" s="22"/>
      <c r="BN1005" s="22"/>
      <c r="BO1005" s="4"/>
      <c r="BP1005" s="4"/>
      <c r="BQ1005" s="4"/>
      <c r="BR1005" s="4"/>
      <c r="BS1005" s="4"/>
      <c r="BT1005" s="22"/>
      <c r="BU1005" s="24"/>
    </row>
    <row r="1006" spans="1:73" ht="73.5" customHeight="1" outlineLevel="2">
      <c r="A1006" s="46" t="s">
        <v>258</v>
      </c>
      <c r="B1006" s="45" t="s">
        <v>1093</v>
      </c>
      <c r="C1006" s="39">
        <f t="shared" si="172"/>
        <v>1073.2017099999998</v>
      </c>
      <c r="D1006" s="1">
        <f t="shared" si="170"/>
        <v>515.50906</v>
      </c>
      <c r="E1006" s="1">
        <f t="shared" si="171"/>
        <v>557.69265</v>
      </c>
      <c r="F1006" s="22"/>
      <c r="G1006" s="22"/>
      <c r="H1006" s="22"/>
      <c r="I1006" s="22"/>
      <c r="J1006" s="22">
        <v>137.32823</v>
      </c>
      <c r="K1006" s="22">
        <v>61.92507</v>
      </c>
      <c r="L1006" s="22"/>
      <c r="M1006" s="22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22"/>
      <c r="AA1006" s="22"/>
      <c r="AB1006" s="23">
        <v>136.14772</v>
      </c>
      <c r="AC1006" s="4">
        <v>60.60374</v>
      </c>
      <c r="AD1006" s="22"/>
      <c r="AE1006" s="22"/>
      <c r="AF1006" s="22"/>
      <c r="AG1006" s="22"/>
      <c r="AH1006" s="20">
        <v>52.9947</v>
      </c>
      <c r="AI1006" s="4"/>
      <c r="AJ1006" s="20">
        <v>52.9947</v>
      </c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4"/>
      <c r="BA1006" s="4"/>
      <c r="BB1006" s="4"/>
      <c r="BC1006" s="22"/>
      <c r="BD1006" s="22"/>
      <c r="BE1006" s="22">
        <v>231</v>
      </c>
      <c r="BF1006" s="22">
        <v>242.03311</v>
      </c>
      <c r="BG1006" s="22">
        <v>151.16914</v>
      </c>
      <c r="BH1006" s="22"/>
      <c r="BI1006" s="22"/>
      <c r="BJ1006" s="22"/>
      <c r="BK1006" s="22"/>
      <c r="BL1006" s="22"/>
      <c r="BM1006" s="22"/>
      <c r="BN1006" s="22"/>
      <c r="BO1006" s="4"/>
      <c r="BP1006" s="4"/>
      <c r="BQ1006" s="4"/>
      <c r="BR1006" s="4"/>
      <c r="BS1006" s="4"/>
      <c r="BT1006" s="22"/>
      <c r="BU1006" s="24"/>
    </row>
    <row r="1007" spans="1:73" ht="73.5" customHeight="1" outlineLevel="2">
      <c r="A1007" s="46" t="s">
        <v>258</v>
      </c>
      <c r="B1007" s="45" t="s">
        <v>1094</v>
      </c>
      <c r="C1007" s="39">
        <f t="shared" si="172"/>
        <v>185.12534</v>
      </c>
      <c r="D1007" s="1">
        <f t="shared" si="170"/>
        <v>119.42378</v>
      </c>
      <c r="E1007" s="1">
        <f t="shared" si="171"/>
        <v>65.70156</v>
      </c>
      <c r="F1007" s="22"/>
      <c r="G1007" s="22"/>
      <c r="H1007" s="22"/>
      <c r="I1007" s="22"/>
      <c r="J1007" s="22"/>
      <c r="K1007" s="22"/>
      <c r="L1007" s="22"/>
      <c r="M1007" s="22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22">
        <v>27</v>
      </c>
      <c r="AA1007" s="22">
        <v>14.337</v>
      </c>
      <c r="AB1007" s="23">
        <v>35.08422</v>
      </c>
      <c r="AC1007" s="4">
        <v>15.61712</v>
      </c>
      <c r="AD1007" s="22"/>
      <c r="AE1007" s="22"/>
      <c r="AF1007" s="22"/>
      <c r="AG1007" s="22"/>
      <c r="AH1007" s="20"/>
      <c r="AI1007" s="4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4"/>
      <c r="BA1007" s="4"/>
      <c r="BB1007" s="4"/>
      <c r="BC1007" s="22"/>
      <c r="BD1007" s="22"/>
      <c r="BE1007" s="22"/>
      <c r="BF1007" s="22">
        <v>57.33956</v>
      </c>
      <c r="BG1007" s="22">
        <v>35.74744</v>
      </c>
      <c r="BH1007" s="22"/>
      <c r="BI1007" s="22"/>
      <c r="BJ1007" s="22"/>
      <c r="BK1007" s="22"/>
      <c r="BL1007" s="22"/>
      <c r="BM1007" s="22"/>
      <c r="BN1007" s="22"/>
      <c r="BO1007" s="4"/>
      <c r="BP1007" s="4"/>
      <c r="BQ1007" s="4"/>
      <c r="BR1007" s="4"/>
      <c r="BS1007" s="4"/>
      <c r="BT1007" s="22"/>
      <c r="BU1007" s="24"/>
    </row>
    <row r="1008" spans="1:73" ht="73.5" customHeight="1" outlineLevel="2">
      <c r="A1008" s="26" t="s">
        <v>258</v>
      </c>
      <c r="B1008" s="27" t="s">
        <v>416</v>
      </c>
      <c r="C1008" s="39">
        <f t="shared" si="172"/>
        <v>848.5245299999999</v>
      </c>
      <c r="D1008" s="1">
        <f t="shared" si="170"/>
        <v>535.4159099999999</v>
      </c>
      <c r="E1008" s="1">
        <f t="shared" si="171"/>
        <v>313.10862</v>
      </c>
      <c r="F1008" s="22"/>
      <c r="G1008" s="22"/>
      <c r="H1008" s="22"/>
      <c r="I1008" s="22"/>
      <c r="J1008" s="22"/>
      <c r="K1008" s="22"/>
      <c r="L1008" s="22"/>
      <c r="M1008" s="22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22"/>
      <c r="AA1008" s="22"/>
      <c r="AB1008" s="23">
        <v>300.76711</v>
      </c>
      <c r="AC1008" s="4">
        <v>108.62055</v>
      </c>
      <c r="AD1008" s="22"/>
      <c r="AE1008" s="22"/>
      <c r="AF1008" s="22"/>
      <c r="AG1008" s="22"/>
      <c r="AH1008" s="20">
        <v>57.8124</v>
      </c>
      <c r="AI1008" s="4"/>
      <c r="AJ1008" s="20">
        <v>57.8124</v>
      </c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4"/>
      <c r="BA1008" s="4"/>
      <c r="BB1008" s="4"/>
      <c r="BC1008" s="22"/>
      <c r="BD1008" s="22"/>
      <c r="BE1008" s="22"/>
      <c r="BF1008" s="22">
        <v>234.6488</v>
      </c>
      <c r="BG1008" s="22">
        <v>146.67567</v>
      </c>
      <c r="BH1008" s="22"/>
      <c r="BI1008" s="22"/>
      <c r="BJ1008" s="22"/>
      <c r="BK1008" s="22"/>
      <c r="BL1008" s="22"/>
      <c r="BM1008" s="22"/>
      <c r="BN1008" s="22"/>
      <c r="BO1008" s="4"/>
      <c r="BP1008" s="4"/>
      <c r="BQ1008" s="4"/>
      <c r="BR1008" s="4"/>
      <c r="BS1008" s="4"/>
      <c r="BT1008" s="22"/>
      <c r="BU1008" s="24"/>
    </row>
    <row r="1009" spans="1:73" ht="73.5" customHeight="1" outlineLevel="2">
      <c r="A1009" s="26" t="s">
        <v>258</v>
      </c>
      <c r="B1009" s="27" t="s">
        <v>1095</v>
      </c>
      <c r="C1009" s="39">
        <f t="shared" si="172"/>
        <v>36.59957</v>
      </c>
      <c r="D1009" s="1">
        <f t="shared" si="170"/>
        <v>29.32332</v>
      </c>
      <c r="E1009" s="1">
        <f t="shared" si="171"/>
        <v>7.27625</v>
      </c>
      <c r="F1009" s="22"/>
      <c r="G1009" s="22"/>
      <c r="H1009" s="22"/>
      <c r="I1009" s="22"/>
      <c r="J1009" s="22"/>
      <c r="K1009" s="22"/>
      <c r="L1009" s="22"/>
      <c r="M1009" s="22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22"/>
      <c r="AA1009" s="22"/>
      <c r="AB1009" s="23"/>
      <c r="AC1009" s="4"/>
      <c r="AD1009" s="22"/>
      <c r="AE1009" s="22"/>
      <c r="AF1009" s="22"/>
      <c r="AG1009" s="22"/>
      <c r="AH1009" s="20"/>
      <c r="AI1009" s="4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>
        <v>29.32332</v>
      </c>
      <c r="AZ1009" s="4">
        <v>7.27625</v>
      </c>
      <c r="BA1009" s="4"/>
      <c r="BB1009" s="4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4"/>
      <c r="BP1009" s="4"/>
      <c r="BQ1009" s="4"/>
      <c r="BR1009" s="4"/>
      <c r="BS1009" s="4"/>
      <c r="BT1009" s="22"/>
      <c r="BU1009" s="24"/>
    </row>
    <row r="1010" spans="1:73" ht="73.5" customHeight="1" outlineLevel="2">
      <c r="A1010" s="26" t="s">
        <v>258</v>
      </c>
      <c r="B1010" s="27" t="s">
        <v>1096</v>
      </c>
      <c r="C1010" s="39">
        <f t="shared" si="172"/>
        <v>779.566</v>
      </c>
      <c r="D1010" s="1">
        <f t="shared" si="170"/>
        <v>463.89679</v>
      </c>
      <c r="E1010" s="1">
        <f t="shared" si="171"/>
        <v>315.66921</v>
      </c>
      <c r="F1010" s="22"/>
      <c r="G1010" s="22"/>
      <c r="H1010" s="22"/>
      <c r="I1010" s="22"/>
      <c r="J1010" s="22"/>
      <c r="K1010" s="22"/>
      <c r="L1010" s="22"/>
      <c r="M1010" s="22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22">
        <v>60.81527</v>
      </c>
      <c r="AA1010" s="22">
        <v>83.592</v>
      </c>
      <c r="AB1010" s="23">
        <v>219.20026</v>
      </c>
      <c r="AC1010" s="4">
        <v>93.23653</v>
      </c>
      <c r="AD1010" s="22"/>
      <c r="AE1010" s="22"/>
      <c r="AF1010" s="22"/>
      <c r="AG1010" s="22"/>
      <c r="AH1010" s="20">
        <f>12.04425+11.2424</f>
        <v>23.28665</v>
      </c>
      <c r="AI1010" s="4">
        <v>11.2424</v>
      </c>
      <c r="AJ1010" s="22">
        <v>12.04425</v>
      </c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4"/>
      <c r="BA1010" s="4"/>
      <c r="BB1010" s="4"/>
      <c r="BC1010" s="22"/>
      <c r="BD1010" s="22"/>
      <c r="BE1010" s="22"/>
      <c r="BF1010" s="22">
        <v>183.88126</v>
      </c>
      <c r="BG1010" s="22">
        <v>115.55403</v>
      </c>
      <c r="BH1010" s="22"/>
      <c r="BI1010" s="22"/>
      <c r="BJ1010" s="22"/>
      <c r="BK1010" s="22"/>
      <c r="BL1010" s="22"/>
      <c r="BM1010" s="22"/>
      <c r="BN1010" s="22"/>
      <c r="BO1010" s="4"/>
      <c r="BP1010" s="4"/>
      <c r="BQ1010" s="4"/>
      <c r="BR1010" s="4"/>
      <c r="BS1010" s="4"/>
      <c r="BT1010" s="22"/>
      <c r="BU1010" s="24"/>
    </row>
    <row r="1011" spans="1:73" ht="73.5" customHeight="1" outlineLevel="2">
      <c r="A1011" s="26" t="s">
        <v>258</v>
      </c>
      <c r="B1011" s="27" t="s">
        <v>1097</v>
      </c>
      <c r="C1011" s="39">
        <f t="shared" si="172"/>
        <v>1417.2046</v>
      </c>
      <c r="D1011" s="1">
        <f t="shared" si="170"/>
        <v>909.14665</v>
      </c>
      <c r="E1011" s="1">
        <f t="shared" si="171"/>
        <v>508.05795</v>
      </c>
      <c r="F1011" s="22"/>
      <c r="G1011" s="22"/>
      <c r="H1011" s="22"/>
      <c r="I1011" s="22"/>
      <c r="J1011" s="22"/>
      <c r="K1011" s="22"/>
      <c r="L1011" s="22"/>
      <c r="M1011" s="22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22">
        <v>157.5</v>
      </c>
      <c r="AA1011" s="22">
        <v>83.592</v>
      </c>
      <c r="AB1011" s="23">
        <v>366.55155</v>
      </c>
      <c r="AC1011" s="4">
        <v>163.16392</v>
      </c>
      <c r="AD1011" s="22"/>
      <c r="AE1011" s="22"/>
      <c r="AF1011" s="22"/>
      <c r="AG1011" s="22"/>
      <c r="AH1011" s="20">
        <f>12.04425+8.24575</f>
        <v>20.29</v>
      </c>
      <c r="AI1011" s="4">
        <v>8.24575</v>
      </c>
      <c r="AJ1011" s="22">
        <v>12.04425</v>
      </c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4"/>
      <c r="BA1011" s="4"/>
      <c r="BB1011" s="4"/>
      <c r="BC1011" s="22"/>
      <c r="BD1011" s="22"/>
      <c r="BE1011" s="22"/>
      <c r="BF1011" s="22">
        <v>385.0951</v>
      </c>
      <c r="BG1011" s="22">
        <v>241.01203</v>
      </c>
      <c r="BH1011" s="22"/>
      <c r="BI1011" s="22"/>
      <c r="BJ1011" s="22"/>
      <c r="BK1011" s="22"/>
      <c r="BL1011" s="22"/>
      <c r="BM1011" s="22"/>
      <c r="BN1011" s="22"/>
      <c r="BO1011" s="4"/>
      <c r="BP1011" s="4"/>
      <c r="BQ1011" s="4"/>
      <c r="BR1011" s="4"/>
      <c r="BS1011" s="4"/>
      <c r="BT1011" s="22"/>
      <c r="BU1011" s="24"/>
    </row>
    <row r="1012" spans="1:73" ht="73.5" customHeight="1" outlineLevel="2">
      <c r="A1012" s="26" t="s">
        <v>258</v>
      </c>
      <c r="B1012" s="27" t="s">
        <v>1098</v>
      </c>
      <c r="C1012" s="39">
        <f t="shared" si="172"/>
        <v>59.43142</v>
      </c>
      <c r="D1012" s="1">
        <f t="shared" si="170"/>
        <v>40.03887</v>
      </c>
      <c r="E1012" s="1">
        <f t="shared" si="171"/>
        <v>19.39255</v>
      </c>
      <c r="F1012" s="22"/>
      <c r="G1012" s="22"/>
      <c r="H1012" s="22"/>
      <c r="I1012" s="22"/>
      <c r="J1012" s="22"/>
      <c r="K1012" s="22"/>
      <c r="L1012" s="22"/>
      <c r="M1012" s="22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22"/>
      <c r="AA1012" s="22"/>
      <c r="AB1012" s="23">
        <v>31.4187</v>
      </c>
      <c r="AC1012" s="4">
        <v>13.98548</v>
      </c>
      <c r="AD1012" s="22"/>
      <c r="AE1012" s="22"/>
      <c r="AF1012" s="22"/>
      <c r="AG1012" s="22"/>
      <c r="AH1012" s="20"/>
      <c r="AI1012" s="4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4"/>
      <c r="BA1012" s="4"/>
      <c r="BB1012" s="4"/>
      <c r="BC1012" s="22"/>
      <c r="BD1012" s="22"/>
      <c r="BE1012" s="22"/>
      <c r="BF1012" s="22">
        <v>8.62017</v>
      </c>
      <c r="BG1012" s="22">
        <v>5.40707</v>
      </c>
      <c r="BH1012" s="22"/>
      <c r="BI1012" s="22"/>
      <c r="BJ1012" s="22"/>
      <c r="BK1012" s="22"/>
      <c r="BL1012" s="22"/>
      <c r="BM1012" s="22"/>
      <c r="BN1012" s="22"/>
      <c r="BO1012" s="4"/>
      <c r="BP1012" s="4"/>
      <c r="BQ1012" s="4"/>
      <c r="BR1012" s="4"/>
      <c r="BS1012" s="4"/>
      <c r="BT1012" s="22"/>
      <c r="BU1012" s="24"/>
    </row>
    <row r="1013" spans="1:73" ht="73.5" customHeight="1" outlineLevel="2">
      <c r="A1013" s="26" t="s">
        <v>258</v>
      </c>
      <c r="B1013" s="27" t="s">
        <v>1099</v>
      </c>
      <c r="C1013" s="39">
        <f t="shared" si="172"/>
        <v>519.6766600000001</v>
      </c>
      <c r="D1013" s="1">
        <f t="shared" si="170"/>
        <v>342.70532000000003</v>
      </c>
      <c r="E1013" s="1">
        <f t="shared" si="171"/>
        <v>176.97134</v>
      </c>
      <c r="F1013" s="22"/>
      <c r="G1013" s="22"/>
      <c r="H1013" s="22"/>
      <c r="I1013" s="22"/>
      <c r="J1013" s="22"/>
      <c r="K1013" s="22"/>
      <c r="L1013" s="22"/>
      <c r="M1013" s="22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22"/>
      <c r="AA1013" s="22"/>
      <c r="AB1013" s="23">
        <v>209.45803</v>
      </c>
      <c r="AC1013" s="4">
        <v>93.23653</v>
      </c>
      <c r="AD1013" s="22"/>
      <c r="AE1013" s="22"/>
      <c r="AF1013" s="22"/>
      <c r="AG1013" s="22"/>
      <c r="AH1013" s="20"/>
      <c r="AI1013" s="4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4"/>
      <c r="BA1013" s="4"/>
      <c r="BB1013" s="4"/>
      <c r="BC1013" s="22"/>
      <c r="BD1013" s="22"/>
      <c r="BE1013" s="22"/>
      <c r="BF1013" s="22">
        <v>133.24729</v>
      </c>
      <c r="BG1013" s="22">
        <v>83.73481</v>
      </c>
      <c r="BH1013" s="22"/>
      <c r="BI1013" s="22"/>
      <c r="BJ1013" s="22"/>
      <c r="BK1013" s="22"/>
      <c r="BL1013" s="22"/>
      <c r="BM1013" s="22"/>
      <c r="BN1013" s="22"/>
      <c r="BO1013" s="4"/>
      <c r="BP1013" s="4"/>
      <c r="BQ1013" s="4"/>
      <c r="BR1013" s="4"/>
      <c r="BS1013" s="4"/>
      <c r="BT1013" s="22"/>
      <c r="BU1013" s="24"/>
    </row>
    <row r="1014" spans="1:73" ht="73.5" customHeight="1" outlineLevel="2">
      <c r="A1014" s="26" t="s">
        <v>258</v>
      </c>
      <c r="B1014" s="27" t="s">
        <v>1100</v>
      </c>
      <c r="C1014" s="39">
        <f t="shared" si="172"/>
        <v>547.21674</v>
      </c>
      <c r="D1014" s="1">
        <f t="shared" si="170"/>
        <v>363.73769</v>
      </c>
      <c r="E1014" s="1">
        <f t="shared" si="171"/>
        <v>183.47905</v>
      </c>
      <c r="F1014" s="22"/>
      <c r="G1014" s="22"/>
      <c r="H1014" s="22"/>
      <c r="I1014" s="22"/>
      <c r="J1014" s="22"/>
      <c r="K1014" s="22"/>
      <c r="L1014" s="22"/>
      <c r="M1014" s="22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22"/>
      <c r="AA1014" s="22">
        <v>16.7265</v>
      </c>
      <c r="AB1014" s="23">
        <v>358.02709</v>
      </c>
      <c r="AC1014" s="4">
        <v>163.16392</v>
      </c>
      <c r="AD1014" s="22"/>
      <c r="AE1014" s="22"/>
      <c r="AF1014" s="22"/>
      <c r="AG1014" s="22"/>
      <c r="AH1014" s="20"/>
      <c r="AI1014" s="4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4"/>
      <c r="BA1014" s="4"/>
      <c r="BB1014" s="4"/>
      <c r="BC1014" s="22"/>
      <c r="BD1014" s="22"/>
      <c r="BE1014" s="22"/>
      <c r="BF1014" s="22">
        <v>5.7106</v>
      </c>
      <c r="BG1014" s="22">
        <v>3.58863</v>
      </c>
      <c r="BH1014" s="22"/>
      <c r="BI1014" s="22"/>
      <c r="BJ1014" s="22"/>
      <c r="BK1014" s="22"/>
      <c r="BL1014" s="22"/>
      <c r="BM1014" s="22"/>
      <c r="BN1014" s="22"/>
      <c r="BO1014" s="4"/>
      <c r="BP1014" s="4"/>
      <c r="BQ1014" s="4"/>
      <c r="BR1014" s="4"/>
      <c r="BS1014" s="4"/>
      <c r="BT1014" s="22"/>
      <c r="BU1014" s="24"/>
    </row>
    <row r="1015" spans="1:73" ht="73.5" customHeight="1" outlineLevel="2">
      <c r="A1015" s="26" t="s">
        <v>258</v>
      </c>
      <c r="B1015" s="27" t="s">
        <v>1101</v>
      </c>
      <c r="C1015" s="39">
        <f t="shared" si="172"/>
        <v>37.52181</v>
      </c>
      <c r="D1015" s="1">
        <f t="shared" si="170"/>
        <v>20.88776</v>
      </c>
      <c r="E1015" s="1">
        <f t="shared" si="171"/>
        <v>16.634050000000002</v>
      </c>
      <c r="F1015" s="22"/>
      <c r="G1015" s="22"/>
      <c r="H1015" s="22"/>
      <c r="I1015" s="22"/>
      <c r="J1015" s="22"/>
      <c r="K1015" s="22"/>
      <c r="L1015" s="22"/>
      <c r="M1015" s="22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22"/>
      <c r="AA1015" s="22">
        <v>3.564</v>
      </c>
      <c r="AB1015" s="23"/>
      <c r="AC1015" s="4"/>
      <c r="AD1015" s="22"/>
      <c r="AE1015" s="22"/>
      <c r="AF1015" s="22"/>
      <c r="AG1015" s="22"/>
      <c r="AH1015" s="20"/>
      <c r="AI1015" s="4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4"/>
      <c r="BA1015" s="4"/>
      <c r="BB1015" s="4"/>
      <c r="BC1015" s="22"/>
      <c r="BD1015" s="22"/>
      <c r="BE1015" s="22"/>
      <c r="BF1015" s="22">
        <v>20.88776</v>
      </c>
      <c r="BG1015" s="22">
        <v>13.07005</v>
      </c>
      <c r="BH1015" s="22"/>
      <c r="BI1015" s="22"/>
      <c r="BJ1015" s="22"/>
      <c r="BK1015" s="22"/>
      <c r="BL1015" s="22"/>
      <c r="BM1015" s="22"/>
      <c r="BN1015" s="22"/>
      <c r="BO1015" s="4"/>
      <c r="BP1015" s="4"/>
      <c r="BQ1015" s="4"/>
      <c r="BR1015" s="4"/>
      <c r="BS1015" s="4"/>
      <c r="BT1015" s="22"/>
      <c r="BU1015" s="24"/>
    </row>
    <row r="1016" spans="1:73" ht="73.5" customHeight="1" outlineLevel="2">
      <c r="A1016" s="44" t="s">
        <v>258</v>
      </c>
      <c r="B1016" s="26" t="s">
        <v>391</v>
      </c>
      <c r="C1016" s="39">
        <f t="shared" si="172"/>
        <v>320.51284</v>
      </c>
      <c r="D1016" s="1">
        <f t="shared" si="170"/>
        <v>0.64817</v>
      </c>
      <c r="E1016" s="1">
        <f t="shared" si="171"/>
        <v>319.86467</v>
      </c>
      <c r="F1016" s="22"/>
      <c r="G1016" s="22"/>
      <c r="H1016" s="22"/>
      <c r="I1016" s="22"/>
      <c r="J1016" s="22"/>
      <c r="K1016" s="22"/>
      <c r="L1016" s="22"/>
      <c r="M1016" s="22"/>
      <c r="N1016" s="4">
        <v>0.64817</v>
      </c>
      <c r="O1016" s="4">
        <v>0.04587</v>
      </c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22"/>
      <c r="AA1016" s="22"/>
      <c r="AB1016" s="4"/>
      <c r="AC1016" s="4"/>
      <c r="AD1016" s="22"/>
      <c r="AE1016" s="22"/>
      <c r="AF1016" s="22"/>
      <c r="AG1016" s="22"/>
      <c r="AH1016" s="20"/>
      <c r="AI1016" s="4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4"/>
      <c r="BA1016" s="4"/>
      <c r="BB1016" s="4"/>
      <c r="BC1016" s="22"/>
      <c r="BD1016" s="22">
        <v>319.8188</v>
      </c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4"/>
      <c r="BP1016" s="4"/>
      <c r="BQ1016" s="4"/>
      <c r="BR1016" s="4"/>
      <c r="BS1016" s="4"/>
      <c r="BT1016" s="22"/>
      <c r="BU1016" s="24"/>
    </row>
    <row r="1017" spans="1:73" ht="73.5" customHeight="1" outlineLevel="2">
      <c r="A1017" s="44" t="s">
        <v>258</v>
      </c>
      <c r="B1017" s="26" t="s">
        <v>392</v>
      </c>
      <c r="C1017" s="39">
        <f t="shared" si="172"/>
        <v>24.38502</v>
      </c>
      <c r="D1017" s="1">
        <f t="shared" si="170"/>
        <v>22.74886</v>
      </c>
      <c r="E1017" s="1">
        <f t="shared" si="171"/>
        <v>1.6361599999999998</v>
      </c>
      <c r="F1017" s="22"/>
      <c r="G1017" s="22"/>
      <c r="H1017" s="22"/>
      <c r="I1017" s="22"/>
      <c r="J1017" s="22"/>
      <c r="K1017" s="22"/>
      <c r="L1017" s="22"/>
      <c r="M1017" s="22"/>
      <c r="N1017" s="4">
        <f>0.55892+22.18994</f>
        <v>22.74886</v>
      </c>
      <c r="O1017" s="4">
        <f>0.08384+1.55232</f>
        <v>1.6361599999999998</v>
      </c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22"/>
      <c r="AA1017" s="22"/>
      <c r="AB1017" s="4"/>
      <c r="AC1017" s="4"/>
      <c r="AD1017" s="22"/>
      <c r="AE1017" s="22"/>
      <c r="AF1017" s="22"/>
      <c r="AG1017" s="22"/>
      <c r="AH1017" s="20"/>
      <c r="AI1017" s="4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4"/>
      <c r="BA1017" s="4"/>
      <c r="BB1017" s="4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4"/>
      <c r="BP1017" s="4"/>
      <c r="BQ1017" s="4"/>
      <c r="BR1017" s="4"/>
      <c r="BS1017" s="4"/>
      <c r="BT1017" s="22"/>
      <c r="BU1017" s="24"/>
    </row>
    <row r="1018" spans="1:73" ht="73.5" customHeight="1" outlineLevel="2">
      <c r="A1018" s="44" t="s">
        <v>258</v>
      </c>
      <c r="B1018" s="26" t="s">
        <v>360</v>
      </c>
      <c r="C1018" s="39">
        <f t="shared" si="172"/>
        <v>19.10982</v>
      </c>
      <c r="D1018" s="1">
        <f t="shared" si="170"/>
        <v>17.74295</v>
      </c>
      <c r="E1018" s="1">
        <f t="shared" si="171"/>
        <v>1.36687</v>
      </c>
      <c r="F1018" s="22"/>
      <c r="G1018" s="22"/>
      <c r="H1018" s="22"/>
      <c r="I1018" s="22"/>
      <c r="J1018" s="22"/>
      <c r="K1018" s="22"/>
      <c r="L1018" s="22"/>
      <c r="M1018" s="22"/>
      <c r="N1018" s="4">
        <v>17.74295</v>
      </c>
      <c r="O1018" s="4">
        <v>1.36687</v>
      </c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22"/>
      <c r="AA1018" s="22"/>
      <c r="AB1018" s="4"/>
      <c r="AC1018" s="4"/>
      <c r="AD1018" s="22"/>
      <c r="AE1018" s="22"/>
      <c r="AF1018" s="22"/>
      <c r="AG1018" s="22"/>
      <c r="AH1018" s="20"/>
      <c r="AI1018" s="4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4"/>
      <c r="BA1018" s="4"/>
      <c r="BB1018" s="4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4"/>
      <c r="BP1018" s="4"/>
      <c r="BQ1018" s="4"/>
      <c r="BR1018" s="4"/>
      <c r="BS1018" s="4"/>
      <c r="BT1018" s="22"/>
      <c r="BU1018" s="24"/>
    </row>
    <row r="1019" spans="1:73" ht="73.5" customHeight="1" outlineLevel="2">
      <c r="A1019" s="44" t="s">
        <v>258</v>
      </c>
      <c r="B1019" s="26" t="s">
        <v>578</v>
      </c>
      <c r="C1019" s="39">
        <f t="shared" si="172"/>
        <v>42.5591</v>
      </c>
      <c r="D1019" s="1">
        <f t="shared" si="170"/>
        <v>0</v>
      </c>
      <c r="E1019" s="1">
        <f t="shared" si="171"/>
        <v>42.5591</v>
      </c>
      <c r="F1019" s="22"/>
      <c r="G1019" s="22"/>
      <c r="H1019" s="22"/>
      <c r="I1019" s="22"/>
      <c r="J1019" s="22"/>
      <c r="K1019" s="22"/>
      <c r="L1019" s="22"/>
      <c r="M1019" s="22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22"/>
      <c r="AA1019" s="22"/>
      <c r="AB1019" s="4"/>
      <c r="AC1019" s="4"/>
      <c r="AD1019" s="22"/>
      <c r="AE1019" s="22"/>
      <c r="AF1019" s="22"/>
      <c r="AG1019" s="22"/>
      <c r="AH1019" s="20">
        <f>14.4531+28.106</f>
        <v>42.5591</v>
      </c>
      <c r="AI1019" s="4">
        <v>28.106</v>
      </c>
      <c r="AJ1019" s="22">
        <v>14.4531</v>
      </c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4"/>
      <c r="BA1019" s="4"/>
      <c r="BB1019" s="4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4"/>
      <c r="BP1019" s="4"/>
      <c r="BQ1019" s="4"/>
      <c r="BR1019" s="4"/>
      <c r="BS1019" s="4"/>
      <c r="BT1019" s="22"/>
      <c r="BU1019" s="24"/>
    </row>
    <row r="1020" spans="1:73" ht="73.5" customHeight="1" outlineLevel="2" thickBot="1">
      <c r="A1020" s="46" t="s">
        <v>258</v>
      </c>
      <c r="B1020" s="45" t="s">
        <v>597</v>
      </c>
      <c r="C1020" s="39">
        <f t="shared" si="172"/>
        <v>4986.32108</v>
      </c>
      <c r="D1020" s="1">
        <f t="shared" si="170"/>
        <v>4067.08352</v>
      </c>
      <c r="E1020" s="1">
        <f t="shared" si="171"/>
        <v>919.23756</v>
      </c>
      <c r="F1020" s="60"/>
      <c r="G1020" s="60"/>
      <c r="H1020" s="60"/>
      <c r="I1020" s="60"/>
      <c r="J1020" s="60">
        <v>4067.08352</v>
      </c>
      <c r="K1020" s="60">
        <v>919.23756</v>
      </c>
      <c r="L1020" s="60"/>
      <c r="M1020" s="60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0"/>
      <c r="AA1020" s="60"/>
      <c r="AB1020" s="67"/>
      <c r="AC1020" s="61"/>
      <c r="AD1020" s="60"/>
      <c r="AE1020" s="60"/>
      <c r="AF1020" s="60"/>
      <c r="AG1020" s="60"/>
      <c r="AH1020" s="62"/>
      <c r="AI1020" s="61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1"/>
      <c r="BA1020" s="61"/>
      <c r="BB1020" s="61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1"/>
      <c r="BP1020" s="61"/>
      <c r="BQ1020" s="61"/>
      <c r="BR1020" s="61"/>
      <c r="BS1020" s="4"/>
      <c r="BT1020" s="22"/>
      <c r="BU1020" s="24"/>
    </row>
    <row r="1021" spans="1:74" s="35" customFormat="1" ht="73.5" customHeight="1" outlineLevel="1" thickBot="1">
      <c r="A1021" s="29" t="s">
        <v>340</v>
      </c>
      <c r="B1021" s="90"/>
      <c r="C1021" s="49">
        <f aca="true" t="shared" si="173" ref="C1021:BN1021">SUBTOTAL(9,C990:C1020)</f>
        <v>36862.454</v>
      </c>
      <c r="D1021" s="49">
        <f t="shared" si="173"/>
        <v>20566.753160000007</v>
      </c>
      <c r="E1021" s="49">
        <f t="shared" si="173"/>
        <v>16295.700840000005</v>
      </c>
      <c r="F1021" s="49">
        <f t="shared" si="173"/>
        <v>0</v>
      </c>
      <c r="G1021" s="49">
        <f t="shared" si="173"/>
        <v>0</v>
      </c>
      <c r="H1021" s="49">
        <f t="shared" si="173"/>
        <v>318.95844</v>
      </c>
      <c r="I1021" s="49">
        <f t="shared" si="173"/>
        <v>48.370059999999995</v>
      </c>
      <c r="J1021" s="49">
        <f t="shared" si="173"/>
        <v>6031.43264</v>
      </c>
      <c r="K1021" s="49">
        <f t="shared" si="173"/>
        <v>1783.13047</v>
      </c>
      <c r="L1021" s="49">
        <f t="shared" si="173"/>
        <v>685.1799000000001</v>
      </c>
      <c r="M1021" s="49">
        <f t="shared" si="173"/>
        <v>0</v>
      </c>
      <c r="N1021" s="49">
        <f t="shared" si="173"/>
        <v>41.13998</v>
      </c>
      <c r="O1021" s="49">
        <f t="shared" si="173"/>
        <v>3.0488999999999997</v>
      </c>
      <c r="P1021" s="49">
        <f t="shared" si="173"/>
        <v>17.26803</v>
      </c>
      <c r="Q1021" s="49">
        <f t="shared" si="173"/>
        <v>0</v>
      </c>
      <c r="R1021" s="49">
        <f t="shared" si="173"/>
        <v>18.59766</v>
      </c>
      <c r="S1021" s="49">
        <f t="shared" si="173"/>
        <v>24.05822</v>
      </c>
      <c r="T1021" s="49">
        <f t="shared" si="173"/>
        <v>0</v>
      </c>
      <c r="U1021" s="49">
        <f t="shared" si="173"/>
        <v>0</v>
      </c>
      <c r="V1021" s="49">
        <f t="shared" si="173"/>
        <v>0</v>
      </c>
      <c r="W1021" s="49">
        <f t="shared" si="173"/>
        <v>0</v>
      </c>
      <c r="X1021" s="49">
        <f t="shared" si="173"/>
        <v>0</v>
      </c>
      <c r="Y1021" s="49">
        <f t="shared" si="173"/>
        <v>0</v>
      </c>
      <c r="Z1021" s="49">
        <f t="shared" si="173"/>
        <v>643.9556299999999</v>
      </c>
      <c r="AA1021" s="49">
        <f t="shared" si="173"/>
        <v>650.5695</v>
      </c>
      <c r="AB1021" s="49">
        <f t="shared" si="173"/>
        <v>5345.916869999999</v>
      </c>
      <c r="AC1021" s="49">
        <f t="shared" si="173"/>
        <v>2118.10082</v>
      </c>
      <c r="AD1021" s="49">
        <f t="shared" si="173"/>
        <v>0</v>
      </c>
      <c r="AE1021" s="49">
        <f t="shared" si="173"/>
        <v>0</v>
      </c>
      <c r="AF1021" s="49">
        <f t="shared" si="173"/>
        <v>0</v>
      </c>
      <c r="AG1021" s="49">
        <f t="shared" si="173"/>
        <v>0</v>
      </c>
      <c r="AH1021" s="49">
        <f t="shared" si="173"/>
        <v>1967.2901</v>
      </c>
      <c r="AI1021" s="49">
        <f t="shared" si="173"/>
        <v>827.90405</v>
      </c>
      <c r="AJ1021" s="49">
        <f t="shared" si="173"/>
        <v>1139.3860499999998</v>
      </c>
      <c r="AK1021" s="49">
        <f t="shared" si="173"/>
        <v>0</v>
      </c>
      <c r="AL1021" s="49">
        <f t="shared" si="173"/>
        <v>0</v>
      </c>
      <c r="AM1021" s="49">
        <f t="shared" si="173"/>
        <v>0</v>
      </c>
      <c r="AN1021" s="49">
        <f t="shared" si="173"/>
        <v>0</v>
      </c>
      <c r="AO1021" s="49">
        <f t="shared" si="173"/>
        <v>0</v>
      </c>
      <c r="AP1021" s="49">
        <f t="shared" si="173"/>
        <v>0</v>
      </c>
      <c r="AQ1021" s="49">
        <f t="shared" si="173"/>
        <v>0</v>
      </c>
      <c r="AR1021" s="49">
        <f t="shared" si="173"/>
        <v>0</v>
      </c>
      <c r="AS1021" s="49">
        <f t="shared" si="173"/>
        <v>0</v>
      </c>
      <c r="AT1021" s="49">
        <f t="shared" si="173"/>
        <v>0</v>
      </c>
      <c r="AU1021" s="49">
        <f t="shared" si="173"/>
        <v>0</v>
      </c>
      <c r="AV1021" s="49">
        <f t="shared" si="173"/>
        <v>0</v>
      </c>
      <c r="AW1021" s="49">
        <f t="shared" si="173"/>
        <v>0</v>
      </c>
      <c r="AX1021" s="49">
        <f t="shared" si="173"/>
        <v>0</v>
      </c>
      <c r="AY1021" s="49">
        <f t="shared" si="173"/>
        <v>1113.7498</v>
      </c>
      <c r="AZ1021" s="49">
        <f t="shared" si="173"/>
        <v>827.89095</v>
      </c>
      <c r="BA1021" s="49">
        <f t="shared" si="173"/>
        <v>0</v>
      </c>
      <c r="BB1021" s="49">
        <f t="shared" si="173"/>
        <v>0</v>
      </c>
      <c r="BC1021" s="49">
        <f t="shared" si="173"/>
        <v>0</v>
      </c>
      <c r="BD1021" s="49">
        <f t="shared" si="173"/>
        <v>369.866</v>
      </c>
      <c r="BE1021" s="49">
        <f t="shared" si="173"/>
        <v>3041.2704800000006</v>
      </c>
      <c r="BF1021" s="49">
        <f t="shared" si="173"/>
        <v>7053.002140000001</v>
      </c>
      <c r="BG1021" s="49">
        <f t="shared" si="173"/>
        <v>4405.5553</v>
      </c>
      <c r="BH1021" s="49">
        <f t="shared" si="173"/>
        <v>0</v>
      </c>
      <c r="BI1021" s="49">
        <f t="shared" si="173"/>
        <v>0</v>
      </c>
      <c r="BJ1021" s="49">
        <f t="shared" si="173"/>
        <v>354.10211</v>
      </c>
      <c r="BK1021" s="49">
        <f t="shared" si="173"/>
        <v>0</v>
      </c>
      <c r="BL1021" s="49">
        <f t="shared" si="173"/>
        <v>0</v>
      </c>
      <c r="BM1021" s="49">
        <f t="shared" si="173"/>
        <v>0</v>
      </c>
      <c r="BN1021" s="49">
        <f t="shared" si="173"/>
        <v>0</v>
      </c>
      <c r="BO1021" s="49">
        <f aca="true" t="shared" si="174" ref="BO1021:BT1021">SUBTOTAL(9,BO990:BO1020)</f>
        <v>0</v>
      </c>
      <c r="BP1021" s="49">
        <f t="shared" si="174"/>
        <v>0</v>
      </c>
      <c r="BQ1021" s="49">
        <f t="shared" si="174"/>
        <v>0</v>
      </c>
      <c r="BR1021" s="49">
        <f t="shared" si="174"/>
        <v>0</v>
      </c>
      <c r="BS1021" s="2">
        <f t="shared" si="174"/>
        <v>0</v>
      </c>
      <c r="BT1021" s="2">
        <f t="shared" si="174"/>
        <v>0</v>
      </c>
      <c r="BU1021" s="50"/>
      <c r="BV1021" s="34"/>
    </row>
    <row r="1022" spans="1:73" ht="73.5" customHeight="1" outlineLevel="2">
      <c r="A1022" s="36" t="s">
        <v>341</v>
      </c>
      <c r="B1022" s="37" t="s">
        <v>10</v>
      </c>
      <c r="C1022" s="39">
        <f>D1022+E1022</f>
        <v>37683.75661</v>
      </c>
      <c r="D1022" s="1">
        <f aca="true" t="shared" si="175" ref="D1022:D1044">F1022+J1022+N1022+R1022+T1022+Z1022+AB1022+AD1022+AF1022+AM1022+AO1022+AT1022+AY1022+BF1022+BO1022+BS1022+H1022+V1022+X1022+BQ1022+AR1022+BH1022</f>
        <v>13325.54231</v>
      </c>
      <c r="E1022" s="1">
        <f aca="true" t="shared" si="176" ref="E1022:E1044">G1022+I1022+K1022+L1022+M1022+O1022+P1022+Q1022+S1022+U1022+W1022+Y1022+AA1022+AC1022+AE1022+AG1022+AH1022+AK1022+AL1022+AN1022+AP1022+AQ1022+AS1022+AU1022+AV1022+AW1022+AX1022+AZ1022+BA1022+BB1022+BC1022+BD1022+BE1022+BG1022+BI1022+BJ1022+BK1022+BL1022+BM1022+BN1022+BU1022+BP1022+BR1022+BT1022</f>
        <v>24358.2143</v>
      </c>
      <c r="F1022" s="40"/>
      <c r="G1022" s="40"/>
      <c r="H1022" s="40"/>
      <c r="I1022" s="40"/>
      <c r="J1022" s="40"/>
      <c r="K1022" s="40">
        <v>34.54528</v>
      </c>
      <c r="L1022" s="40"/>
      <c r="M1022" s="40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0"/>
      <c r="AA1022" s="40">
        <v>419.7015</v>
      </c>
      <c r="AB1022" s="42">
        <v>3025.42487</v>
      </c>
      <c r="AC1022" s="41">
        <v>1440.73744</v>
      </c>
      <c r="AD1022" s="40"/>
      <c r="AE1022" s="40"/>
      <c r="AF1022" s="40"/>
      <c r="AG1022" s="40"/>
      <c r="AH1022" s="43">
        <f>100.8644+559.72593+1061.80155</f>
        <v>1722.39188</v>
      </c>
      <c r="AI1022" s="41">
        <v>1061.80155</v>
      </c>
      <c r="AJ1022" s="40">
        <v>660.59033</v>
      </c>
      <c r="AK1022" s="40"/>
      <c r="AL1022" s="40">
        <f>187.2872+53.34197</f>
        <v>240.62917000000002</v>
      </c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>
        <v>3668.13674</v>
      </c>
      <c r="AZ1022" s="41">
        <v>2571.7699</v>
      </c>
      <c r="BA1022" s="41"/>
      <c r="BB1022" s="41"/>
      <c r="BC1022" s="40"/>
      <c r="BD1022" s="40">
        <f>5298.43664+8491.275</f>
        <v>13789.71164</v>
      </c>
      <c r="BE1022" s="40"/>
      <c r="BF1022" s="40">
        <v>6631.9807</v>
      </c>
      <c r="BG1022" s="40">
        <v>4138.72749</v>
      </c>
      <c r="BH1022" s="40"/>
      <c r="BI1022" s="40"/>
      <c r="BJ1022" s="40"/>
      <c r="BK1022" s="40"/>
      <c r="BL1022" s="40"/>
      <c r="BM1022" s="40"/>
      <c r="BN1022" s="40"/>
      <c r="BO1022" s="41"/>
      <c r="BP1022" s="41"/>
      <c r="BQ1022" s="41"/>
      <c r="BR1022" s="41"/>
      <c r="BS1022" s="4"/>
      <c r="BT1022" s="22"/>
      <c r="BU1022" s="24"/>
    </row>
    <row r="1023" spans="1:73" ht="73.5" customHeight="1" outlineLevel="2">
      <c r="A1023" s="46" t="s">
        <v>341</v>
      </c>
      <c r="B1023" s="45" t="s">
        <v>546</v>
      </c>
      <c r="C1023" s="2">
        <f aca="true" t="shared" si="177" ref="C1023:C1044">D1023+E1023</f>
        <v>34138.13846</v>
      </c>
      <c r="D1023" s="1">
        <f t="shared" si="175"/>
        <v>13125.43574</v>
      </c>
      <c r="E1023" s="1">
        <f t="shared" si="176"/>
        <v>21012.70272</v>
      </c>
      <c r="F1023" s="22"/>
      <c r="G1023" s="22"/>
      <c r="H1023" s="22"/>
      <c r="I1023" s="22"/>
      <c r="J1023" s="22">
        <v>1986.83647</v>
      </c>
      <c r="K1023" s="22">
        <v>871.31409</v>
      </c>
      <c r="L1023" s="22">
        <v>255.18416</v>
      </c>
      <c r="M1023" s="22"/>
      <c r="N1023" s="4"/>
      <c r="O1023" s="4"/>
      <c r="P1023" s="4">
        <v>3409.19328</v>
      </c>
      <c r="Q1023" s="4"/>
      <c r="R1023" s="4"/>
      <c r="S1023" s="4"/>
      <c r="T1023" s="4"/>
      <c r="U1023" s="4"/>
      <c r="V1023" s="4"/>
      <c r="W1023" s="4"/>
      <c r="X1023" s="4"/>
      <c r="Y1023" s="4"/>
      <c r="Z1023" s="22">
        <v>34.75158</v>
      </c>
      <c r="AA1023" s="22">
        <v>50.22</v>
      </c>
      <c r="AB1023" s="23">
        <v>3089.60944</v>
      </c>
      <c r="AC1023" s="4">
        <v>1347.03473</v>
      </c>
      <c r="AD1023" s="22"/>
      <c r="AE1023" s="22"/>
      <c r="AF1023" s="22"/>
      <c r="AG1023" s="22"/>
      <c r="AH1023" s="20">
        <f>694.0241+923.87625</f>
        <v>1617.90035</v>
      </c>
      <c r="AI1023" s="4">
        <v>923.87625</v>
      </c>
      <c r="AJ1023" s="22">
        <v>694.0241</v>
      </c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>
        <v>2201.57682</v>
      </c>
      <c r="AZ1023" s="4">
        <v>1628.22687</v>
      </c>
      <c r="BA1023" s="4"/>
      <c r="BB1023" s="4"/>
      <c r="BC1023" s="22"/>
      <c r="BD1023" s="22">
        <v>5424.23232</v>
      </c>
      <c r="BE1023" s="22">
        <v>2783.59141</v>
      </c>
      <c r="BF1023" s="22">
        <v>5812.66143</v>
      </c>
      <c r="BG1023" s="22">
        <v>3625.80551</v>
      </c>
      <c r="BH1023" s="22"/>
      <c r="BI1023" s="22"/>
      <c r="BJ1023" s="22"/>
      <c r="BK1023" s="22"/>
      <c r="BL1023" s="22"/>
      <c r="BM1023" s="22"/>
      <c r="BN1023" s="22"/>
      <c r="BO1023" s="4"/>
      <c r="BP1023" s="4"/>
      <c r="BQ1023" s="4"/>
      <c r="BR1023" s="4"/>
      <c r="BS1023" s="4"/>
      <c r="BT1023" s="22"/>
      <c r="BU1023" s="24"/>
    </row>
    <row r="1024" spans="1:73" ht="73.5" customHeight="1" outlineLevel="2">
      <c r="A1024" s="44" t="s">
        <v>341</v>
      </c>
      <c r="B1024" s="45" t="s">
        <v>433</v>
      </c>
      <c r="C1024" s="2">
        <f t="shared" si="177"/>
        <v>21796.911030000003</v>
      </c>
      <c r="D1024" s="1">
        <f t="shared" si="175"/>
        <v>5212.07489</v>
      </c>
      <c r="E1024" s="1">
        <f t="shared" si="176"/>
        <v>16584.836140000003</v>
      </c>
      <c r="F1024" s="22">
        <v>330.91115</v>
      </c>
      <c r="G1024" s="22">
        <v>102.81835</v>
      </c>
      <c r="H1024" s="22"/>
      <c r="I1024" s="22"/>
      <c r="J1024" s="22">
        <v>601.35477</v>
      </c>
      <c r="K1024" s="22">
        <v>147.23183</v>
      </c>
      <c r="L1024" s="22"/>
      <c r="M1024" s="22"/>
      <c r="N1024" s="4"/>
      <c r="O1024" s="4"/>
      <c r="P1024" s="4">
        <v>193.92142</v>
      </c>
      <c r="Q1024" s="4"/>
      <c r="R1024" s="4">
        <v>847.09485</v>
      </c>
      <c r="S1024" s="4">
        <v>862.02564</v>
      </c>
      <c r="T1024" s="4">
        <v>404.21494</v>
      </c>
      <c r="U1024" s="4">
        <v>491.53004</v>
      </c>
      <c r="V1024" s="4"/>
      <c r="W1024" s="4"/>
      <c r="X1024" s="4"/>
      <c r="Y1024" s="4"/>
      <c r="Z1024" s="22"/>
      <c r="AA1024" s="22"/>
      <c r="AB1024" s="23">
        <v>993.08547</v>
      </c>
      <c r="AC1024" s="4">
        <v>347.30606</v>
      </c>
      <c r="AD1024" s="22"/>
      <c r="AE1024" s="22"/>
      <c r="AF1024" s="22"/>
      <c r="AG1024" s="22"/>
      <c r="AH1024" s="20">
        <f>270.399+358.6802</f>
        <v>629.0792</v>
      </c>
      <c r="AI1024" s="4">
        <v>358.6802</v>
      </c>
      <c r="AJ1024" s="22">
        <v>270.399</v>
      </c>
      <c r="AK1024" s="22"/>
      <c r="AL1024" s="22">
        <v>1100.61</v>
      </c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4"/>
      <c r="BA1024" s="4"/>
      <c r="BB1024" s="4"/>
      <c r="BC1024" s="22"/>
      <c r="BD1024" s="22">
        <f>8011.59687+517</f>
        <v>8528.596870000001</v>
      </c>
      <c r="BE1024" s="22">
        <v>2913.19444</v>
      </c>
      <c r="BF1024" s="22">
        <v>2035.41371</v>
      </c>
      <c r="BG1024" s="22">
        <v>1268.52229</v>
      </c>
      <c r="BH1024" s="22"/>
      <c r="BI1024" s="22"/>
      <c r="BJ1024" s="22"/>
      <c r="BK1024" s="22"/>
      <c r="BL1024" s="22"/>
      <c r="BM1024" s="22"/>
      <c r="BN1024" s="22"/>
      <c r="BO1024" s="4"/>
      <c r="BP1024" s="4"/>
      <c r="BQ1024" s="4"/>
      <c r="BR1024" s="4"/>
      <c r="BS1024" s="4"/>
      <c r="BT1024" s="22"/>
      <c r="BU1024" s="24"/>
    </row>
    <row r="1025" spans="1:73" ht="73.5" customHeight="1" outlineLevel="2">
      <c r="A1025" s="44" t="s">
        <v>341</v>
      </c>
      <c r="B1025" s="45" t="s">
        <v>25</v>
      </c>
      <c r="C1025" s="2">
        <f t="shared" si="177"/>
        <v>25372.76614</v>
      </c>
      <c r="D1025" s="1">
        <f t="shared" si="175"/>
        <v>15683.60271</v>
      </c>
      <c r="E1025" s="1">
        <f t="shared" si="176"/>
        <v>9689.163429999999</v>
      </c>
      <c r="F1025" s="22"/>
      <c r="G1025" s="22"/>
      <c r="H1025" s="22"/>
      <c r="I1025" s="22"/>
      <c r="J1025" s="22">
        <v>5746.83559</v>
      </c>
      <c r="K1025" s="22">
        <v>1517.83188</v>
      </c>
      <c r="L1025" s="22"/>
      <c r="M1025" s="22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22">
        <v>260.63682</v>
      </c>
      <c r="AA1025" s="22">
        <v>358.2225</v>
      </c>
      <c r="AB1025" s="23">
        <v>3866.262</v>
      </c>
      <c r="AC1025" s="4">
        <v>1356.35825</v>
      </c>
      <c r="AD1025" s="22"/>
      <c r="AE1025" s="22"/>
      <c r="AF1025" s="22"/>
      <c r="AG1025" s="22"/>
      <c r="AH1025" s="20">
        <f>116.382+630.02967+1199.72685</f>
        <v>1946.13852</v>
      </c>
      <c r="AI1025" s="4">
        <v>1199.72685</v>
      </c>
      <c r="AJ1025" s="22">
        <v>746.41167</v>
      </c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4"/>
      <c r="BA1025" s="4"/>
      <c r="BB1025" s="4"/>
      <c r="BC1025" s="22"/>
      <c r="BD1025" s="22">
        <v>681.74842</v>
      </c>
      <c r="BE1025" s="22">
        <v>203.38983</v>
      </c>
      <c r="BF1025" s="22">
        <v>5809.8683</v>
      </c>
      <c r="BG1025" s="22">
        <f>3524.95686+100.51717</f>
        <v>3625.47403</v>
      </c>
      <c r="BH1025" s="22"/>
      <c r="BI1025" s="22"/>
      <c r="BJ1025" s="22"/>
      <c r="BK1025" s="22"/>
      <c r="BL1025" s="22"/>
      <c r="BM1025" s="22"/>
      <c r="BN1025" s="22"/>
      <c r="BO1025" s="4"/>
      <c r="BP1025" s="4"/>
      <c r="BQ1025" s="4"/>
      <c r="BR1025" s="4"/>
      <c r="BS1025" s="4"/>
      <c r="BT1025" s="22"/>
      <c r="BU1025" s="24"/>
    </row>
    <row r="1026" spans="1:73" ht="73.5" customHeight="1" outlineLevel="2">
      <c r="A1026" s="44" t="s">
        <v>341</v>
      </c>
      <c r="B1026" s="45" t="s">
        <v>48</v>
      </c>
      <c r="C1026" s="2">
        <f t="shared" si="177"/>
        <v>22645.323210000002</v>
      </c>
      <c r="D1026" s="1">
        <f t="shared" si="175"/>
        <v>4856.95921</v>
      </c>
      <c r="E1026" s="1">
        <f t="shared" si="176"/>
        <v>17788.364</v>
      </c>
      <c r="F1026" s="22"/>
      <c r="G1026" s="22"/>
      <c r="H1026" s="22"/>
      <c r="I1026" s="22"/>
      <c r="J1026" s="22"/>
      <c r="K1026" s="22"/>
      <c r="L1026" s="22"/>
      <c r="M1026" s="22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22"/>
      <c r="AA1026" s="22">
        <v>271.269</v>
      </c>
      <c r="AB1026" s="23">
        <v>2285.52805</v>
      </c>
      <c r="AC1026" s="4">
        <v>466.18264</v>
      </c>
      <c r="AD1026" s="22"/>
      <c r="AE1026" s="22"/>
      <c r="AF1026" s="22"/>
      <c r="AG1026" s="22"/>
      <c r="AH1026" s="20">
        <f>159.44334+347.4378</f>
        <v>506.88113999999996</v>
      </c>
      <c r="AI1026" s="4">
        <v>347.4378</v>
      </c>
      <c r="AJ1026" s="22">
        <v>159.44334</v>
      </c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4"/>
      <c r="BA1026" s="4"/>
      <c r="BB1026" s="4"/>
      <c r="BC1026" s="22"/>
      <c r="BD1026" s="22">
        <f>13798.07093+911.4</f>
        <v>14709.47093</v>
      </c>
      <c r="BE1026" s="22"/>
      <c r="BF1026" s="22">
        <v>2571.43116</v>
      </c>
      <c r="BG1026" s="22">
        <v>1603.63429</v>
      </c>
      <c r="BH1026" s="22"/>
      <c r="BI1026" s="22"/>
      <c r="BJ1026" s="22">
        <v>230.926</v>
      </c>
      <c r="BK1026" s="22"/>
      <c r="BL1026" s="22"/>
      <c r="BM1026" s="22"/>
      <c r="BN1026" s="22"/>
      <c r="BO1026" s="4"/>
      <c r="BP1026" s="4"/>
      <c r="BQ1026" s="4"/>
      <c r="BR1026" s="4"/>
      <c r="BS1026" s="4"/>
      <c r="BT1026" s="22"/>
      <c r="BU1026" s="24"/>
    </row>
    <row r="1027" spans="1:73" ht="73.5" customHeight="1" outlineLevel="2">
      <c r="A1027" s="44" t="s">
        <v>341</v>
      </c>
      <c r="B1027" s="26" t="s">
        <v>327</v>
      </c>
      <c r="C1027" s="2">
        <f t="shared" si="177"/>
        <v>7377.60318</v>
      </c>
      <c r="D1027" s="1">
        <f t="shared" si="175"/>
        <v>1524.22626</v>
      </c>
      <c r="E1027" s="1">
        <f t="shared" si="176"/>
        <v>5853.37692</v>
      </c>
      <c r="F1027" s="22"/>
      <c r="G1027" s="22"/>
      <c r="H1027" s="22"/>
      <c r="I1027" s="22"/>
      <c r="J1027" s="22">
        <v>194.46073</v>
      </c>
      <c r="K1027" s="22">
        <v>46.74609</v>
      </c>
      <c r="L1027" s="22">
        <f>4423.43305+24.53559</f>
        <v>4447.96864</v>
      </c>
      <c r="M1027" s="22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22">
        <v>34.75157</v>
      </c>
      <c r="AA1027" s="22">
        <v>47.7495</v>
      </c>
      <c r="AB1027" s="23">
        <v>325.29319</v>
      </c>
      <c r="AC1027" s="4">
        <v>163.16392</v>
      </c>
      <c r="AD1027" s="22"/>
      <c r="AE1027" s="22"/>
      <c r="AF1027" s="22"/>
      <c r="AG1027" s="22"/>
      <c r="AH1027" s="20">
        <f>84.72502+107.56685</f>
        <v>192.29187000000002</v>
      </c>
      <c r="AI1027" s="4">
        <v>107.56685</v>
      </c>
      <c r="AJ1027" s="22">
        <v>84.72502</v>
      </c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>
        <v>112.84867</v>
      </c>
      <c r="AZ1027" s="4"/>
      <c r="BA1027" s="4"/>
      <c r="BB1027" s="4"/>
      <c r="BC1027" s="22"/>
      <c r="BD1027" s="22">
        <v>420.38746</v>
      </c>
      <c r="BE1027" s="22"/>
      <c r="BF1027" s="22">
        <v>856.8721</v>
      </c>
      <c r="BG1027" s="22">
        <v>535.06944</v>
      </c>
      <c r="BH1027" s="22"/>
      <c r="BI1027" s="22"/>
      <c r="BJ1027" s="22"/>
      <c r="BK1027" s="22"/>
      <c r="BL1027" s="22"/>
      <c r="BM1027" s="22"/>
      <c r="BN1027" s="22"/>
      <c r="BO1027" s="4"/>
      <c r="BP1027" s="4"/>
      <c r="BQ1027" s="4"/>
      <c r="BR1027" s="4"/>
      <c r="BS1027" s="4"/>
      <c r="BT1027" s="22"/>
      <c r="BU1027" s="24"/>
    </row>
    <row r="1028" spans="1:73" ht="73.5" customHeight="1" outlineLevel="2">
      <c r="A1028" s="44" t="s">
        <v>341</v>
      </c>
      <c r="B1028" s="45" t="s">
        <v>567</v>
      </c>
      <c r="C1028" s="2">
        <f t="shared" si="177"/>
        <v>8.07518</v>
      </c>
      <c r="D1028" s="1">
        <f t="shared" si="175"/>
        <v>5.78978</v>
      </c>
      <c r="E1028" s="1">
        <f t="shared" si="176"/>
        <v>2.2854</v>
      </c>
      <c r="F1028" s="22"/>
      <c r="G1028" s="22"/>
      <c r="H1028" s="22"/>
      <c r="I1028" s="22"/>
      <c r="J1028" s="22"/>
      <c r="K1028" s="22"/>
      <c r="L1028" s="22"/>
      <c r="M1028" s="22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22"/>
      <c r="AA1028" s="22"/>
      <c r="AB1028" s="23"/>
      <c r="AC1028" s="4"/>
      <c r="AD1028" s="22"/>
      <c r="AE1028" s="22"/>
      <c r="AF1028" s="22"/>
      <c r="AG1028" s="22"/>
      <c r="AH1028" s="20"/>
      <c r="AI1028" s="4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>
        <v>5.78978</v>
      </c>
      <c r="AZ1028" s="4">
        <v>2.2854</v>
      </c>
      <c r="BA1028" s="4"/>
      <c r="BB1028" s="4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4"/>
      <c r="BP1028" s="4"/>
      <c r="BQ1028" s="4"/>
      <c r="BR1028" s="4"/>
      <c r="BS1028" s="4"/>
      <c r="BT1028" s="22"/>
      <c r="BU1028" s="24"/>
    </row>
    <row r="1029" spans="1:73" ht="73.5" customHeight="1" outlineLevel="2">
      <c r="A1029" s="46" t="s">
        <v>341</v>
      </c>
      <c r="B1029" s="45" t="s">
        <v>784</v>
      </c>
      <c r="C1029" s="2">
        <f>D1029+E1029</f>
        <v>19109.79845</v>
      </c>
      <c r="D1029" s="1">
        <f t="shared" si="175"/>
        <v>19022.849</v>
      </c>
      <c r="E1029" s="1">
        <f t="shared" si="176"/>
        <v>86.94945</v>
      </c>
      <c r="F1029" s="22"/>
      <c r="G1029" s="22"/>
      <c r="H1029" s="22"/>
      <c r="I1029" s="22"/>
      <c r="J1029" s="22"/>
      <c r="K1029" s="22"/>
      <c r="L1029" s="22"/>
      <c r="M1029" s="22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22"/>
      <c r="AA1029" s="22"/>
      <c r="AB1029" s="23"/>
      <c r="AC1029" s="4"/>
      <c r="AD1029" s="22"/>
      <c r="AE1029" s="22"/>
      <c r="AF1029" s="22"/>
      <c r="AG1029" s="22"/>
      <c r="AH1029" s="20"/>
      <c r="AI1029" s="4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4">
        <v>86.94945</v>
      </c>
      <c r="BA1029" s="4"/>
      <c r="BB1029" s="4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4"/>
      <c r="BP1029" s="4"/>
      <c r="BQ1029" s="4"/>
      <c r="BR1029" s="4"/>
      <c r="BS1029" s="4">
        <v>19022.849</v>
      </c>
      <c r="BT1029" s="22"/>
      <c r="BU1029" s="24"/>
    </row>
    <row r="1030" spans="1:73" ht="73.5" customHeight="1" outlineLevel="2">
      <c r="A1030" s="44" t="s">
        <v>341</v>
      </c>
      <c r="B1030" s="45" t="s">
        <v>547</v>
      </c>
      <c r="C1030" s="2">
        <f t="shared" si="177"/>
        <v>667.80512</v>
      </c>
      <c r="D1030" s="1">
        <f t="shared" si="175"/>
        <v>0</v>
      </c>
      <c r="E1030" s="1">
        <f t="shared" si="176"/>
        <v>667.80512</v>
      </c>
      <c r="F1030" s="22"/>
      <c r="G1030" s="22"/>
      <c r="H1030" s="22"/>
      <c r="I1030" s="22"/>
      <c r="J1030" s="22"/>
      <c r="K1030" s="22"/>
      <c r="L1030" s="22"/>
      <c r="M1030" s="22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22"/>
      <c r="AA1030" s="22"/>
      <c r="AB1030" s="4"/>
      <c r="AC1030" s="4"/>
      <c r="AD1030" s="22"/>
      <c r="AE1030" s="22"/>
      <c r="AF1030" s="22"/>
      <c r="AG1030" s="22"/>
      <c r="AH1030" s="20"/>
      <c r="AI1030" s="4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4"/>
      <c r="BA1030" s="4"/>
      <c r="BB1030" s="4"/>
      <c r="BC1030" s="22"/>
      <c r="BD1030" s="22">
        <v>667.80512</v>
      </c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4"/>
      <c r="BP1030" s="4"/>
      <c r="BQ1030" s="4"/>
      <c r="BR1030" s="4"/>
      <c r="BS1030" s="4"/>
      <c r="BT1030" s="22"/>
      <c r="BU1030" s="24"/>
    </row>
    <row r="1031" spans="1:73" ht="73.5" customHeight="1" outlineLevel="2">
      <c r="A1031" s="44" t="s">
        <v>341</v>
      </c>
      <c r="B1031" s="45" t="s">
        <v>51</v>
      </c>
      <c r="C1031" s="2">
        <f t="shared" si="177"/>
        <v>112.75721</v>
      </c>
      <c r="D1031" s="1">
        <f t="shared" si="175"/>
        <v>69.39184</v>
      </c>
      <c r="E1031" s="1">
        <f t="shared" si="176"/>
        <v>43.36537</v>
      </c>
      <c r="F1031" s="22"/>
      <c r="G1031" s="22"/>
      <c r="H1031" s="22"/>
      <c r="I1031" s="22"/>
      <c r="J1031" s="22"/>
      <c r="K1031" s="22"/>
      <c r="L1031" s="22"/>
      <c r="M1031" s="22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22"/>
      <c r="AA1031" s="22"/>
      <c r="AB1031" s="4"/>
      <c r="AC1031" s="4"/>
      <c r="AD1031" s="22"/>
      <c r="AE1031" s="22"/>
      <c r="AF1031" s="22"/>
      <c r="AG1031" s="22"/>
      <c r="AH1031" s="20"/>
      <c r="AI1031" s="4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4"/>
      <c r="BA1031" s="4"/>
      <c r="BB1031" s="4"/>
      <c r="BC1031" s="22"/>
      <c r="BD1031" s="22"/>
      <c r="BE1031" s="22"/>
      <c r="BF1031" s="22">
        <f>88.06084-18.669</f>
        <v>69.39184</v>
      </c>
      <c r="BG1031" s="22">
        <f>55.08837-11.723</f>
        <v>43.36537</v>
      </c>
      <c r="BH1031" s="22"/>
      <c r="BI1031" s="22"/>
      <c r="BJ1031" s="22"/>
      <c r="BK1031" s="22"/>
      <c r="BL1031" s="22"/>
      <c r="BM1031" s="22"/>
      <c r="BN1031" s="22"/>
      <c r="BO1031" s="4"/>
      <c r="BP1031" s="4"/>
      <c r="BQ1031" s="4"/>
      <c r="BR1031" s="4"/>
      <c r="BS1031" s="4"/>
      <c r="BT1031" s="22"/>
      <c r="BU1031" s="24"/>
    </row>
    <row r="1032" spans="1:73" ht="73.5" customHeight="1" outlineLevel="2">
      <c r="A1032" s="44" t="s">
        <v>341</v>
      </c>
      <c r="B1032" s="45" t="s">
        <v>53</v>
      </c>
      <c r="C1032" s="2">
        <f t="shared" si="177"/>
        <v>215.94568999999998</v>
      </c>
      <c r="D1032" s="1">
        <f t="shared" si="175"/>
        <v>129.27539</v>
      </c>
      <c r="E1032" s="1">
        <f t="shared" si="176"/>
        <v>86.6703</v>
      </c>
      <c r="F1032" s="22"/>
      <c r="G1032" s="22"/>
      <c r="H1032" s="22"/>
      <c r="I1032" s="22"/>
      <c r="J1032" s="22">
        <v>9.82449</v>
      </c>
      <c r="K1032" s="22">
        <v>2.32507</v>
      </c>
      <c r="L1032" s="22"/>
      <c r="M1032" s="22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22"/>
      <c r="AA1032" s="22"/>
      <c r="AB1032" s="4"/>
      <c r="AC1032" s="4"/>
      <c r="AD1032" s="22"/>
      <c r="AE1032" s="22"/>
      <c r="AF1032" s="22"/>
      <c r="AG1032" s="22"/>
      <c r="AH1032" s="20"/>
      <c r="AI1032" s="4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>
        <v>103.11605</v>
      </c>
      <c r="AZ1032" s="4">
        <v>74.1289</v>
      </c>
      <c r="BA1032" s="4"/>
      <c r="BB1032" s="4"/>
      <c r="BC1032" s="22"/>
      <c r="BD1032" s="22"/>
      <c r="BE1032" s="22"/>
      <c r="BF1032" s="22">
        <v>16.33485</v>
      </c>
      <c r="BG1032" s="22">
        <v>10.21633</v>
      </c>
      <c r="BH1032" s="22"/>
      <c r="BI1032" s="22"/>
      <c r="BJ1032" s="22"/>
      <c r="BK1032" s="22"/>
      <c r="BL1032" s="22"/>
      <c r="BM1032" s="22"/>
      <c r="BN1032" s="22"/>
      <c r="BO1032" s="4"/>
      <c r="BP1032" s="4"/>
      <c r="BQ1032" s="4"/>
      <c r="BR1032" s="4"/>
      <c r="BS1032" s="4"/>
      <c r="BT1032" s="22"/>
      <c r="BU1032" s="24"/>
    </row>
    <row r="1033" spans="1:73" ht="73.5" customHeight="1" outlineLevel="2">
      <c r="A1033" s="44" t="s">
        <v>341</v>
      </c>
      <c r="B1033" s="45" t="s">
        <v>49</v>
      </c>
      <c r="C1033" s="2">
        <f t="shared" si="177"/>
        <v>7466.82935</v>
      </c>
      <c r="D1033" s="1">
        <f t="shared" si="175"/>
        <v>2203.6575700000003</v>
      </c>
      <c r="E1033" s="1">
        <f t="shared" si="176"/>
        <v>5263.17178</v>
      </c>
      <c r="F1033" s="22"/>
      <c r="G1033" s="22"/>
      <c r="H1033" s="22"/>
      <c r="I1033" s="22"/>
      <c r="J1033" s="22">
        <v>241.6376</v>
      </c>
      <c r="K1033" s="22">
        <v>77.28634</v>
      </c>
      <c r="L1033" s="22"/>
      <c r="M1033" s="22"/>
      <c r="N1033" s="4"/>
      <c r="O1033" s="4"/>
      <c r="P1033" s="4"/>
      <c r="Q1033" s="4"/>
      <c r="R1033" s="4">
        <v>299.39044</v>
      </c>
      <c r="S1033" s="4">
        <v>157.15545</v>
      </c>
      <c r="T1033" s="4"/>
      <c r="U1033" s="4"/>
      <c r="V1033" s="4"/>
      <c r="W1033" s="4"/>
      <c r="X1033" s="4"/>
      <c r="Y1033" s="4"/>
      <c r="Z1033" s="22">
        <v>34.75157</v>
      </c>
      <c r="AA1033" s="22">
        <v>47.7495</v>
      </c>
      <c r="AB1033" s="23">
        <v>420.13383</v>
      </c>
      <c r="AC1033" s="4">
        <v>174.81849</v>
      </c>
      <c r="AD1033" s="22"/>
      <c r="AE1033" s="22"/>
      <c r="AF1033" s="22"/>
      <c r="AG1033" s="22"/>
      <c r="AH1033" s="20">
        <f>164.04206+217.75825</f>
        <v>381.80030999999997</v>
      </c>
      <c r="AI1033" s="4">
        <v>217.75825</v>
      </c>
      <c r="AJ1033" s="22">
        <v>164.04206</v>
      </c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>
        <v>53.50339</v>
      </c>
      <c r="AZ1033" s="4">
        <v>12.49263</v>
      </c>
      <c r="BA1033" s="4"/>
      <c r="BB1033" s="4"/>
      <c r="BC1033" s="22"/>
      <c r="BD1033" s="22">
        <v>847</v>
      </c>
      <c r="BE1033" s="22">
        <v>2845.12374</v>
      </c>
      <c r="BF1033" s="22">
        <v>1154.24074</v>
      </c>
      <c r="BG1033" s="22">
        <v>719.74532</v>
      </c>
      <c r="BH1033" s="22"/>
      <c r="BI1033" s="22"/>
      <c r="BJ1033" s="22"/>
      <c r="BK1033" s="22"/>
      <c r="BL1033" s="22"/>
      <c r="BM1033" s="22"/>
      <c r="BN1033" s="22"/>
      <c r="BO1033" s="4"/>
      <c r="BP1033" s="4"/>
      <c r="BQ1033" s="4"/>
      <c r="BR1033" s="4"/>
      <c r="BS1033" s="4"/>
      <c r="BT1033" s="22"/>
      <c r="BU1033" s="24"/>
    </row>
    <row r="1034" spans="1:73" ht="73.5" customHeight="1" outlineLevel="2">
      <c r="A1034" s="44" t="s">
        <v>341</v>
      </c>
      <c r="B1034" s="45" t="s">
        <v>50</v>
      </c>
      <c r="C1034" s="2">
        <f t="shared" si="177"/>
        <v>1517.43525</v>
      </c>
      <c r="D1034" s="1">
        <f t="shared" si="175"/>
        <v>460.32055</v>
      </c>
      <c r="E1034" s="1">
        <f t="shared" si="176"/>
        <v>1057.1147</v>
      </c>
      <c r="F1034" s="22"/>
      <c r="G1034" s="22"/>
      <c r="H1034" s="22"/>
      <c r="I1034" s="22"/>
      <c r="J1034" s="22"/>
      <c r="K1034" s="22"/>
      <c r="L1034" s="22"/>
      <c r="M1034" s="22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22"/>
      <c r="AA1034" s="22">
        <v>56.5785</v>
      </c>
      <c r="AB1034" s="23">
        <v>460.32055</v>
      </c>
      <c r="AC1034" s="4">
        <v>163.16392</v>
      </c>
      <c r="AD1034" s="22"/>
      <c r="AE1034" s="22"/>
      <c r="AF1034" s="22"/>
      <c r="AG1034" s="22"/>
      <c r="AH1034" s="20">
        <f>70.30374+68.96265</f>
        <v>139.26639</v>
      </c>
      <c r="AI1034" s="4">
        <v>68.96265</v>
      </c>
      <c r="AJ1034" s="22">
        <v>70.30374</v>
      </c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4"/>
      <c r="BA1034" s="4"/>
      <c r="BB1034" s="4"/>
      <c r="BC1034" s="22"/>
      <c r="BD1034" s="22"/>
      <c r="BE1034" s="22">
        <v>698.10589</v>
      </c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4"/>
      <c r="BP1034" s="4"/>
      <c r="BQ1034" s="4"/>
      <c r="BR1034" s="4"/>
      <c r="BS1034" s="4"/>
      <c r="BT1034" s="22"/>
      <c r="BU1034" s="24"/>
    </row>
    <row r="1035" spans="1:73" ht="73.5" customHeight="1" outlineLevel="2">
      <c r="A1035" s="44" t="s">
        <v>341</v>
      </c>
      <c r="B1035" s="45" t="s">
        <v>52</v>
      </c>
      <c r="C1035" s="2">
        <f t="shared" si="177"/>
        <v>123.968</v>
      </c>
      <c r="D1035" s="1">
        <f t="shared" si="175"/>
        <v>0</v>
      </c>
      <c r="E1035" s="1">
        <f t="shared" si="176"/>
        <v>123.968</v>
      </c>
      <c r="F1035" s="22"/>
      <c r="G1035" s="22"/>
      <c r="H1035" s="22"/>
      <c r="I1035" s="22"/>
      <c r="J1035" s="22"/>
      <c r="K1035" s="22"/>
      <c r="L1035" s="22"/>
      <c r="M1035" s="22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22"/>
      <c r="AA1035" s="22"/>
      <c r="AB1035" s="4"/>
      <c r="AC1035" s="4"/>
      <c r="AD1035" s="22"/>
      <c r="AE1035" s="22"/>
      <c r="AF1035" s="22"/>
      <c r="AG1035" s="22"/>
      <c r="AH1035" s="20"/>
      <c r="AI1035" s="4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4">
        <v>123.968</v>
      </c>
      <c r="BA1035" s="4"/>
      <c r="BB1035" s="4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4"/>
      <c r="BP1035" s="4"/>
      <c r="BQ1035" s="4"/>
      <c r="BR1035" s="4"/>
      <c r="BS1035" s="4"/>
      <c r="BT1035" s="22"/>
      <c r="BU1035" s="24"/>
    </row>
    <row r="1036" spans="1:73" ht="73.5" customHeight="1" outlineLevel="2">
      <c r="A1036" s="44" t="s">
        <v>341</v>
      </c>
      <c r="B1036" s="45" t="s">
        <v>564</v>
      </c>
      <c r="C1036" s="2">
        <f t="shared" si="177"/>
        <v>81.66748</v>
      </c>
      <c r="D1036" s="1">
        <f t="shared" si="175"/>
        <v>27.01899</v>
      </c>
      <c r="E1036" s="1">
        <f t="shared" si="176"/>
        <v>54.64849</v>
      </c>
      <c r="F1036" s="22"/>
      <c r="G1036" s="22"/>
      <c r="H1036" s="22"/>
      <c r="I1036" s="22"/>
      <c r="J1036" s="22"/>
      <c r="K1036" s="22"/>
      <c r="L1036" s="22"/>
      <c r="M1036" s="22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22"/>
      <c r="AA1036" s="22"/>
      <c r="AB1036" s="4"/>
      <c r="AC1036" s="4"/>
      <c r="AD1036" s="22"/>
      <c r="AE1036" s="22"/>
      <c r="AF1036" s="22"/>
      <c r="AG1036" s="22"/>
      <c r="AH1036" s="20"/>
      <c r="AI1036" s="4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>
        <v>27.01899</v>
      </c>
      <c r="AZ1036" s="4">
        <v>54.64849</v>
      </c>
      <c r="BA1036" s="4"/>
      <c r="BB1036" s="4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4"/>
      <c r="BP1036" s="4"/>
      <c r="BQ1036" s="4"/>
      <c r="BR1036" s="4"/>
      <c r="BS1036" s="4"/>
      <c r="BT1036" s="22"/>
      <c r="BU1036" s="24"/>
    </row>
    <row r="1037" spans="1:73" ht="73.5" customHeight="1" outlineLevel="2">
      <c r="A1037" s="44" t="s">
        <v>341</v>
      </c>
      <c r="B1037" s="45" t="s">
        <v>1102</v>
      </c>
      <c r="C1037" s="2">
        <f t="shared" si="177"/>
        <v>75.32656</v>
      </c>
      <c r="D1037" s="1">
        <f t="shared" si="175"/>
        <v>28.56293</v>
      </c>
      <c r="E1037" s="1">
        <f t="shared" si="176"/>
        <v>46.76363</v>
      </c>
      <c r="F1037" s="22"/>
      <c r="G1037" s="22"/>
      <c r="H1037" s="22"/>
      <c r="I1037" s="22"/>
      <c r="J1037" s="22"/>
      <c r="K1037" s="22"/>
      <c r="L1037" s="22"/>
      <c r="M1037" s="22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22"/>
      <c r="AA1037" s="22"/>
      <c r="AB1037" s="4"/>
      <c r="AC1037" s="4"/>
      <c r="AD1037" s="22"/>
      <c r="AE1037" s="22"/>
      <c r="AF1037" s="22"/>
      <c r="AG1037" s="22"/>
      <c r="AH1037" s="20"/>
      <c r="AI1037" s="4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>
        <v>28.56293</v>
      </c>
      <c r="AZ1037" s="4">
        <v>46.76363</v>
      </c>
      <c r="BA1037" s="4"/>
      <c r="BB1037" s="4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4"/>
      <c r="BP1037" s="4"/>
      <c r="BQ1037" s="4"/>
      <c r="BR1037" s="4"/>
      <c r="BS1037" s="4"/>
      <c r="BT1037" s="22"/>
      <c r="BU1037" s="24"/>
    </row>
    <row r="1038" spans="1:73" ht="73.5" customHeight="1" outlineLevel="2">
      <c r="A1038" s="44" t="s">
        <v>341</v>
      </c>
      <c r="B1038" s="45" t="s">
        <v>1103</v>
      </c>
      <c r="C1038" s="2">
        <f t="shared" si="177"/>
        <v>96.85522</v>
      </c>
      <c r="D1038" s="1">
        <f t="shared" si="175"/>
        <v>59.64444</v>
      </c>
      <c r="E1038" s="1">
        <f t="shared" si="176"/>
        <v>37.21078</v>
      </c>
      <c r="F1038" s="22"/>
      <c r="G1038" s="22"/>
      <c r="H1038" s="22"/>
      <c r="I1038" s="22"/>
      <c r="J1038" s="22"/>
      <c r="K1038" s="22"/>
      <c r="L1038" s="22"/>
      <c r="M1038" s="22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22"/>
      <c r="AA1038" s="22"/>
      <c r="AB1038" s="4"/>
      <c r="AC1038" s="4"/>
      <c r="AD1038" s="22"/>
      <c r="AE1038" s="22"/>
      <c r="AF1038" s="22"/>
      <c r="AG1038" s="22"/>
      <c r="AH1038" s="20"/>
      <c r="AI1038" s="4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4"/>
      <c r="BA1038" s="4"/>
      <c r="BB1038" s="4"/>
      <c r="BC1038" s="22"/>
      <c r="BD1038" s="22"/>
      <c r="BE1038" s="22"/>
      <c r="BF1038" s="22">
        <v>59.64444</v>
      </c>
      <c r="BG1038" s="22">
        <v>37.21078</v>
      </c>
      <c r="BH1038" s="22"/>
      <c r="BI1038" s="22"/>
      <c r="BJ1038" s="22"/>
      <c r="BK1038" s="22"/>
      <c r="BL1038" s="22"/>
      <c r="BM1038" s="22"/>
      <c r="BN1038" s="22"/>
      <c r="BO1038" s="4"/>
      <c r="BP1038" s="4"/>
      <c r="BQ1038" s="4"/>
      <c r="BR1038" s="4"/>
      <c r="BS1038" s="4"/>
      <c r="BT1038" s="22"/>
      <c r="BU1038" s="24"/>
    </row>
    <row r="1039" spans="1:73" ht="73.5" customHeight="1" outlineLevel="2">
      <c r="A1039" s="44" t="s">
        <v>341</v>
      </c>
      <c r="B1039" s="45" t="s">
        <v>1104</v>
      </c>
      <c r="C1039" s="2">
        <f>D1039+E1039</f>
        <v>10000.206</v>
      </c>
      <c r="D1039" s="1">
        <f t="shared" si="175"/>
        <v>0</v>
      </c>
      <c r="E1039" s="1">
        <f t="shared" si="176"/>
        <v>10000.206</v>
      </c>
      <c r="F1039" s="22"/>
      <c r="G1039" s="22"/>
      <c r="H1039" s="22"/>
      <c r="I1039" s="22"/>
      <c r="J1039" s="22"/>
      <c r="K1039" s="22"/>
      <c r="L1039" s="22"/>
      <c r="M1039" s="22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22"/>
      <c r="AA1039" s="22"/>
      <c r="AB1039" s="4"/>
      <c r="AC1039" s="4"/>
      <c r="AD1039" s="22"/>
      <c r="AE1039" s="22"/>
      <c r="AF1039" s="22"/>
      <c r="AG1039" s="22"/>
      <c r="AH1039" s="20"/>
      <c r="AI1039" s="4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4"/>
      <c r="BA1039" s="4"/>
      <c r="BB1039" s="4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4"/>
      <c r="BP1039" s="4"/>
      <c r="BQ1039" s="4"/>
      <c r="BR1039" s="4"/>
      <c r="BS1039" s="4"/>
      <c r="BT1039" s="22">
        <v>10000.206</v>
      </c>
      <c r="BU1039" s="24"/>
    </row>
    <row r="1040" spans="1:73" ht="73.5" customHeight="1" outlineLevel="2">
      <c r="A1040" s="44" t="s">
        <v>341</v>
      </c>
      <c r="B1040" s="45" t="s">
        <v>1105</v>
      </c>
      <c r="C1040" s="2">
        <f>D1040+E1040</f>
        <v>2.57712</v>
      </c>
      <c r="D1040" s="1">
        <f t="shared" si="175"/>
        <v>0</v>
      </c>
      <c r="E1040" s="1">
        <f t="shared" si="176"/>
        <v>2.57712</v>
      </c>
      <c r="F1040" s="22"/>
      <c r="G1040" s="22"/>
      <c r="H1040" s="22"/>
      <c r="I1040" s="22"/>
      <c r="J1040" s="22"/>
      <c r="K1040" s="22"/>
      <c r="L1040" s="22"/>
      <c r="M1040" s="22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22"/>
      <c r="AA1040" s="22"/>
      <c r="AB1040" s="4"/>
      <c r="AC1040" s="4"/>
      <c r="AD1040" s="22"/>
      <c r="AE1040" s="22"/>
      <c r="AF1040" s="22"/>
      <c r="AG1040" s="22"/>
      <c r="AH1040" s="20"/>
      <c r="AI1040" s="4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4">
        <v>2.57712</v>
      </c>
      <c r="BA1040" s="4"/>
      <c r="BB1040" s="4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4"/>
      <c r="BP1040" s="4"/>
      <c r="BQ1040" s="4"/>
      <c r="BR1040" s="4"/>
      <c r="BS1040" s="4"/>
      <c r="BT1040" s="22"/>
      <c r="BU1040" s="24"/>
    </row>
    <row r="1041" spans="1:73" ht="73.5" customHeight="1" outlineLevel="2">
      <c r="A1041" s="44" t="s">
        <v>341</v>
      </c>
      <c r="B1041" s="26" t="s">
        <v>1119</v>
      </c>
      <c r="C1041" s="2">
        <f t="shared" si="177"/>
        <v>289.2099</v>
      </c>
      <c r="D1041" s="1">
        <f t="shared" si="175"/>
        <v>0</v>
      </c>
      <c r="E1041" s="1">
        <f t="shared" si="176"/>
        <v>289.2099</v>
      </c>
      <c r="F1041" s="22"/>
      <c r="G1041" s="22"/>
      <c r="H1041" s="22"/>
      <c r="I1041" s="22"/>
      <c r="J1041" s="22"/>
      <c r="K1041" s="22"/>
      <c r="L1041" s="22"/>
      <c r="M1041" s="22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22"/>
      <c r="AA1041" s="22"/>
      <c r="AB1041" s="4"/>
      <c r="AC1041" s="4"/>
      <c r="AD1041" s="22"/>
      <c r="AE1041" s="22"/>
      <c r="AF1041" s="22"/>
      <c r="AG1041" s="22"/>
      <c r="AH1041" s="20"/>
      <c r="AI1041" s="4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4"/>
      <c r="BA1041" s="4"/>
      <c r="BB1041" s="4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>
        <v>289.2099</v>
      </c>
      <c r="BN1041" s="22"/>
      <c r="BO1041" s="4"/>
      <c r="BP1041" s="4"/>
      <c r="BQ1041" s="4"/>
      <c r="BR1041" s="4"/>
      <c r="BS1041" s="4"/>
      <c r="BT1041" s="22"/>
      <c r="BU1041" s="24"/>
    </row>
    <row r="1042" spans="1:73" ht="73.5" customHeight="1" outlineLevel="2">
      <c r="A1042" s="44" t="s">
        <v>341</v>
      </c>
      <c r="B1042" s="26" t="s">
        <v>432</v>
      </c>
      <c r="C1042" s="2">
        <f t="shared" si="177"/>
        <v>1191.779</v>
      </c>
      <c r="D1042" s="1">
        <f t="shared" si="175"/>
        <v>0</v>
      </c>
      <c r="E1042" s="1">
        <f t="shared" si="176"/>
        <v>1191.779</v>
      </c>
      <c r="F1042" s="22"/>
      <c r="G1042" s="22"/>
      <c r="H1042" s="22"/>
      <c r="I1042" s="22"/>
      <c r="J1042" s="22"/>
      <c r="K1042" s="22"/>
      <c r="L1042" s="22"/>
      <c r="M1042" s="22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22"/>
      <c r="AA1042" s="22"/>
      <c r="AB1042" s="4"/>
      <c r="AC1042" s="4"/>
      <c r="AD1042" s="22"/>
      <c r="AE1042" s="22"/>
      <c r="AF1042" s="22"/>
      <c r="AG1042" s="22"/>
      <c r="AH1042" s="20"/>
      <c r="AI1042" s="4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4"/>
      <c r="BA1042" s="4"/>
      <c r="BB1042" s="4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>
        <v>1191.779</v>
      </c>
      <c r="BN1042" s="22"/>
      <c r="BO1042" s="4"/>
      <c r="BP1042" s="4"/>
      <c r="BQ1042" s="4"/>
      <c r="BR1042" s="4"/>
      <c r="BS1042" s="4"/>
      <c r="BT1042" s="22"/>
      <c r="BU1042" s="24"/>
    </row>
    <row r="1043" spans="1:73" ht="73.5" customHeight="1" outlineLevel="2">
      <c r="A1043" s="44" t="s">
        <v>341</v>
      </c>
      <c r="B1043" s="26" t="s">
        <v>558</v>
      </c>
      <c r="C1043" s="2">
        <f t="shared" si="177"/>
        <v>1358.7526</v>
      </c>
      <c r="D1043" s="1">
        <f t="shared" si="175"/>
        <v>0</v>
      </c>
      <c r="E1043" s="1">
        <f t="shared" si="176"/>
        <v>1358.7526</v>
      </c>
      <c r="F1043" s="22"/>
      <c r="G1043" s="22"/>
      <c r="H1043" s="22"/>
      <c r="I1043" s="22"/>
      <c r="J1043" s="22"/>
      <c r="K1043" s="22"/>
      <c r="L1043" s="22"/>
      <c r="M1043" s="22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22"/>
      <c r="AA1043" s="22"/>
      <c r="AB1043" s="4"/>
      <c r="AC1043" s="4"/>
      <c r="AD1043" s="22"/>
      <c r="AE1043" s="22"/>
      <c r="AF1043" s="22"/>
      <c r="AG1043" s="22"/>
      <c r="AH1043" s="20"/>
      <c r="AI1043" s="4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4"/>
      <c r="BA1043" s="4"/>
      <c r="BB1043" s="4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>
        <v>1358.7526</v>
      </c>
      <c r="BN1043" s="22"/>
      <c r="BO1043" s="4"/>
      <c r="BP1043" s="4"/>
      <c r="BQ1043" s="4"/>
      <c r="BR1043" s="4"/>
      <c r="BS1043" s="4"/>
      <c r="BT1043" s="22"/>
      <c r="BU1043" s="24"/>
    </row>
    <row r="1044" spans="1:73" ht="73.5" customHeight="1" outlineLevel="2" thickBot="1">
      <c r="A1044" s="46" t="s">
        <v>341</v>
      </c>
      <c r="B1044" s="45" t="s">
        <v>446</v>
      </c>
      <c r="C1044" s="2">
        <f t="shared" si="177"/>
        <v>2042.2143999999998</v>
      </c>
      <c r="D1044" s="1">
        <f t="shared" si="175"/>
        <v>0</v>
      </c>
      <c r="E1044" s="1">
        <f t="shared" si="176"/>
        <v>2042.2143999999998</v>
      </c>
      <c r="F1044" s="22"/>
      <c r="G1044" s="22"/>
      <c r="H1044" s="22"/>
      <c r="I1044" s="22"/>
      <c r="J1044" s="22"/>
      <c r="K1044" s="22"/>
      <c r="L1044" s="22">
        <f>1725.19555+317.01885</f>
        <v>2042.2143999999998</v>
      </c>
      <c r="M1044" s="22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22"/>
      <c r="AA1044" s="22"/>
      <c r="AB1044" s="4"/>
      <c r="AC1044" s="4"/>
      <c r="AD1044" s="22"/>
      <c r="AE1044" s="22"/>
      <c r="AF1044" s="22"/>
      <c r="AG1044" s="22"/>
      <c r="AH1044" s="20"/>
      <c r="AI1044" s="4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4"/>
      <c r="BA1044" s="4"/>
      <c r="BB1044" s="4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4"/>
      <c r="BP1044" s="4"/>
      <c r="BQ1044" s="4"/>
      <c r="BR1044" s="4"/>
      <c r="BS1044" s="4"/>
      <c r="BT1044" s="22"/>
      <c r="BU1044" s="24"/>
    </row>
    <row r="1045" spans="1:74" s="35" customFormat="1" ht="73.5" customHeight="1" outlineLevel="1" thickBot="1">
      <c r="A1045" s="53" t="s">
        <v>371</v>
      </c>
      <c r="B1045" s="54"/>
      <c r="C1045" s="49">
        <f aca="true" t="shared" si="178" ref="C1045:BN1045">SUBTOTAL(9,C1022:C1044)</f>
        <v>193375.70116000006</v>
      </c>
      <c r="D1045" s="49">
        <f t="shared" si="178"/>
        <v>75734.35161</v>
      </c>
      <c r="E1045" s="49">
        <f t="shared" si="178"/>
        <v>117641.34955000001</v>
      </c>
      <c r="F1045" s="49">
        <f t="shared" si="178"/>
        <v>330.91115</v>
      </c>
      <c r="G1045" s="49">
        <f t="shared" si="178"/>
        <v>102.81835</v>
      </c>
      <c r="H1045" s="49">
        <f t="shared" si="178"/>
        <v>0</v>
      </c>
      <c r="I1045" s="49">
        <f t="shared" si="178"/>
        <v>0</v>
      </c>
      <c r="J1045" s="49">
        <f t="shared" si="178"/>
        <v>8780.94965</v>
      </c>
      <c r="K1045" s="49">
        <f t="shared" si="178"/>
        <v>2697.28058</v>
      </c>
      <c r="L1045" s="49">
        <f t="shared" si="178"/>
        <v>6745.3672</v>
      </c>
      <c r="M1045" s="49">
        <f t="shared" si="178"/>
        <v>0</v>
      </c>
      <c r="N1045" s="49">
        <f t="shared" si="178"/>
        <v>0</v>
      </c>
      <c r="O1045" s="49">
        <f t="shared" si="178"/>
        <v>0</v>
      </c>
      <c r="P1045" s="49">
        <f t="shared" si="178"/>
        <v>3603.1147</v>
      </c>
      <c r="Q1045" s="49">
        <f t="shared" si="178"/>
        <v>0</v>
      </c>
      <c r="R1045" s="49">
        <f t="shared" si="178"/>
        <v>1146.48529</v>
      </c>
      <c r="S1045" s="49">
        <f t="shared" si="178"/>
        <v>1019.1810899999999</v>
      </c>
      <c r="T1045" s="49">
        <f t="shared" si="178"/>
        <v>404.21494</v>
      </c>
      <c r="U1045" s="49">
        <f t="shared" si="178"/>
        <v>491.53004</v>
      </c>
      <c r="V1045" s="49">
        <f t="shared" si="178"/>
        <v>0</v>
      </c>
      <c r="W1045" s="49">
        <f t="shared" si="178"/>
        <v>0</v>
      </c>
      <c r="X1045" s="49">
        <f t="shared" si="178"/>
        <v>0</v>
      </c>
      <c r="Y1045" s="49">
        <f t="shared" si="178"/>
        <v>0</v>
      </c>
      <c r="Z1045" s="49">
        <f t="shared" si="178"/>
        <v>364.89154</v>
      </c>
      <c r="AA1045" s="49">
        <f t="shared" si="178"/>
        <v>1251.4904999999999</v>
      </c>
      <c r="AB1045" s="49">
        <f t="shared" si="178"/>
        <v>14465.657400000002</v>
      </c>
      <c r="AC1045" s="49">
        <f t="shared" si="178"/>
        <v>5458.76545</v>
      </c>
      <c r="AD1045" s="49">
        <f t="shared" si="178"/>
        <v>0</v>
      </c>
      <c r="AE1045" s="49">
        <f t="shared" si="178"/>
        <v>0</v>
      </c>
      <c r="AF1045" s="49">
        <f t="shared" si="178"/>
        <v>0</v>
      </c>
      <c r="AG1045" s="49">
        <f t="shared" si="178"/>
        <v>0</v>
      </c>
      <c r="AH1045" s="49">
        <f t="shared" si="178"/>
        <v>7135.749659999999</v>
      </c>
      <c r="AI1045" s="49">
        <f t="shared" si="178"/>
        <v>4285.810400000001</v>
      </c>
      <c r="AJ1045" s="49">
        <f t="shared" si="178"/>
        <v>2849.9392599999996</v>
      </c>
      <c r="AK1045" s="49">
        <f t="shared" si="178"/>
        <v>0</v>
      </c>
      <c r="AL1045" s="49">
        <f t="shared" si="178"/>
        <v>1341.2391699999998</v>
      </c>
      <c r="AM1045" s="49">
        <f t="shared" si="178"/>
        <v>0</v>
      </c>
      <c r="AN1045" s="49">
        <f t="shared" si="178"/>
        <v>0</v>
      </c>
      <c r="AO1045" s="49">
        <f t="shared" si="178"/>
        <v>0</v>
      </c>
      <c r="AP1045" s="49">
        <f t="shared" si="178"/>
        <v>0</v>
      </c>
      <c r="AQ1045" s="49">
        <f t="shared" si="178"/>
        <v>0</v>
      </c>
      <c r="AR1045" s="49">
        <f t="shared" si="178"/>
        <v>0</v>
      </c>
      <c r="AS1045" s="49">
        <f t="shared" si="178"/>
        <v>0</v>
      </c>
      <c r="AT1045" s="49">
        <f t="shared" si="178"/>
        <v>0</v>
      </c>
      <c r="AU1045" s="49">
        <f t="shared" si="178"/>
        <v>0</v>
      </c>
      <c r="AV1045" s="49">
        <f t="shared" si="178"/>
        <v>0</v>
      </c>
      <c r="AW1045" s="49">
        <f t="shared" si="178"/>
        <v>0</v>
      </c>
      <c r="AX1045" s="49">
        <f t="shared" si="178"/>
        <v>0</v>
      </c>
      <c r="AY1045" s="49">
        <f t="shared" si="178"/>
        <v>6200.55337</v>
      </c>
      <c r="AZ1045" s="49">
        <f t="shared" si="178"/>
        <v>4603.810389999999</v>
      </c>
      <c r="BA1045" s="49">
        <f t="shared" si="178"/>
        <v>0</v>
      </c>
      <c r="BB1045" s="49">
        <f t="shared" si="178"/>
        <v>0</v>
      </c>
      <c r="BC1045" s="49">
        <f t="shared" si="178"/>
        <v>0</v>
      </c>
      <c r="BD1045" s="49">
        <f t="shared" si="178"/>
        <v>45068.95275999999</v>
      </c>
      <c r="BE1045" s="49">
        <f t="shared" si="178"/>
        <v>9443.40531</v>
      </c>
      <c r="BF1045" s="49">
        <f t="shared" si="178"/>
        <v>25017.839270000004</v>
      </c>
      <c r="BG1045" s="49">
        <f t="shared" si="178"/>
        <v>15607.770849999997</v>
      </c>
      <c r="BH1045" s="49">
        <f t="shared" si="178"/>
        <v>0</v>
      </c>
      <c r="BI1045" s="49">
        <f t="shared" si="178"/>
        <v>0</v>
      </c>
      <c r="BJ1045" s="49">
        <f t="shared" si="178"/>
        <v>230.926</v>
      </c>
      <c r="BK1045" s="49">
        <f t="shared" si="178"/>
        <v>0</v>
      </c>
      <c r="BL1045" s="49">
        <f t="shared" si="178"/>
        <v>0</v>
      </c>
      <c r="BM1045" s="49">
        <f t="shared" si="178"/>
        <v>2839.7415</v>
      </c>
      <c r="BN1045" s="49">
        <f t="shared" si="178"/>
        <v>0</v>
      </c>
      <c r="BO1045" s="49">
        <f aca="true" t="shared" si="179" ref="BO1045:BT1045">SUBTOTAL(9,BO1022:BO1044)</f>
        <v>0</v>
      </c>
      <c r="BP1045" s="49">
        <f t="shared" si="179"/>
        <v>0</v>
      </c>
      <c r="BQ1045" s="49">
        <f t="shared" si="179"/>
        <v>0</v>
      </c>
      <c r="BR1045" s="49">
        <f t="shared" si="179"/>
        <v>0</v>
      </c>
      <c r="BS1045" s="2">
        <f t="shared" si="179"/>
        <v>19022.849</v>
      </c>
      <c r="BT1045" s="2">
        <f t="shared" si="179"/>
        <v>10000.206</v>
      </c>
      <c r="BU1045" s="50"/>
      <c r="BV1045" s="34"/>
    </row>
    <row r="1046" spans="1:73" ht="73.5" customHeight="1" outlineLevel="2">
      <c r="A1046" s="51" t="s">
        <v>372</v>
      </c>
      <c r="B1046" s="52" t="s">
        <v>304</v>
      </c>
      <c r="C1046" s="39">
        <f>D1046+E1046</f>
        <v>68858.56627</v>
      </c>
      <c r="D1046" s="1">
        <f aca="true" t="shared" si="180" ref="D1046:D1076">F1046+J1046+N1046+R1046+T1046+Z1046+AB1046+AD1046+AF1046+AM1046+AO1046+AT1046+AY1046+BF1046+BO1046+BS1046+H1046+V1046+X1046+BQ1046+AR1046+BH1046</f>
        <v>19163.69829</v>
      </c>
      <c r="E1046" s="1">
        <f aca="true" t="shared" si="181" ref="E1046:E1076">G1046+I1046+K1046+L1046+M1046+O1046+P1046+Q1046+S1046+U1046+W1046+Y1046+AA1046+AC1046+AE1046+AG1046+AH1046+AK1046+AL1046+AN1046+AP1046+AQ1046+AS1046+AU1046+AV1046+AW1046+AX1046+AZ1046+BA1046+BB1046+BC1046+BD1046+BE1046+BG1046+BI1046+BJ1046+BK1046+BL1046+BM1046+BN1046+BU1046+BP1046+BR1046+BT1046</f>
        <v>49694.867979999995</v>
      </c>
      <c r="F1046" s="40"/>
      <c r="G1046" s="40"/>
      <c r="H1046" s="40"/>
      <c r="I1046" s="40"/>
      <c r="J1046" s="40">
        <v>226.46223</v>
      </c>
      <c r="K1046" s="40">
        <v>72.81914</v>
      </c>
      <c r="L1046" s="40">
        <v>1942.95034</v>
      </c>
      <c r="M1046" s="40"/>
      <c r="N1046" s="41"/>
      <c r="O1046" s="41"/>
      <c r="P1046" s="41">
        <v>2059.38275</v>
      </c>
      <c r="Q1046" s="41"/>
      <c r="R1046" s="41">
        <v>449.43567</v>
      </c>
      <c r="S1046" s="41">
        <v>411.91727</v>
      </c>
      <c r="T1046" s="41"/>
      <c r="U1046" s="41"/>
      <c r="V1046" s="41"/>
      <c r="W1046" s="41"/>
      <c r="X1046" s="41">
        <v>664.75621</v>
      </c>
      <c r="Y1046" s="41">
        <v>708.85216</v>
      </c>
      <c r="Z1046" s="40">
        <v>2046.52256</v>
      </c>
      <c r="AA1046" s="40">
        <v>2242.287</v>
      </c>
      <c r="AB1046" s="42">
        <v>581.26195</v>
      </c>
      <c r="AC1046" s="41">
        <v>237.75314</v>
      </c>
      <c r="AD1046" s="40"/>
      <c r="AE1046" s="40"/>
      <c r="AF1046" s="40"/>
      <c r="AG1046" s="40"/>
      <c r="AH1046" s="43">
        <f>1201.05+411.91335+345.8494+430.2674</f>
        <v>2389.0801500000002</v>
      </c>
      <c r="AI1046" s="41">
        <f>345.8494+430.2674</f>
        <v>776.1168</v>
      </c>
      <c r="AJ1046" s="40">
        <v>1612.96335</v>
      </c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>
        <v>10014.08124</v>
      </c>
      <c r="AZ1046" s="41">
        <v>6081.66911</v>
      </c>
      <c r="BA1046" s="41"/>
      <c r="BB1046" s="41"/>
      <c r="BC1046" s="40"/>
      <c r="BD1046" s="40">
        <f>7264.43696+1828.03984</f>
        <v>9092.4768</v>
      </c>
      <c r="BE1046" s="40">
        <f>1733.38386+18784.20458</f>
        <v>20517.58844</v>
      </c>
      <c r="BF1046" s="40">
        <v>5181.17843</v>
      </c>
      <c r="BG1046" s="40">
        <v>3232.61978</v>
      </c>
      <c r="BH1046" s="40"/>
      <c r="BI1046" s="40"/>
      <c r="BJ1046" s="40">
        <v>705.4719</v>
      </c>
      <c r="BK1046" s="40"/>
      <c r="BL1046" s="40"/>
      <c r="BM1046" s="40"/>
      <c r="BN1046" s="40"/>
      <c r="BO1046" s="41"/>
      <c r="BP1046" s="41"/>
      <c r="BQ1046" s="41"/>
      <c r="BR1046" s="41"/>
      <c r="BS1046" s="4"/>
      <c r="BT1046" s="22"/>
      <c r="BU1046" s="24"/>
    </row>
    <row r="1047" spans="1:73" ht="73.5" customHeight="1" outlineLevel="2">
      <c r="A1047" s="46" t="s">
        <v>372</v>
      </c>
      <c r="B1047" s="45" t="s">
        <v>234</v>
      </c>
      <c r="C1047" s="39">
        <f aca="true" t="shared" si="182" ref="C1047:C1076">D1047+E1047</f>
        <v>39474.44593</v>
      </c>
      <c r="D1047" s="1">
        <f t="shared" si="180"/>
        <v>0</v>
      </c>
      <c r="E1047" s="1">
        <f t="shared" si="181"/>
        <v>39474.44593</v>
      </c>
      <c r="F1047" s="22"/>
      <c r="G1047" s="22"/>
      <c r="H1047" s="22"/>
      <c r="I1047" s="22"/>
      <c r="J1047" s="22"/>
      <c r="K1047" s="22"/>
      <c r="L1047" s="22"/>
      <c r="M1047" s="22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22"/>
      <c r="AA1047" s="22"/>
      <c r="AB1047" s="4"/>
      <c r="AC1047" s="4"/>
      <c r="AD1047" s="22"/>
      <c r="AE1047" s="22"/>
      <c r="AF1047" s="22"/>
      <c r="AG1047" s="22"/>
      <c r="AH1047" s="20"/>
      <c r="AI1047" s="4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4"/>
      <c r="BA1047" s="4"/>
      <c r="BB1047" s="4"/>
      <c r="BC1047" s="22">
        <v>32988.12</v>
      </c>
      <c r="BD1047" s="22"/>
      <c r="BE1047" s="22">
        <v>6486.32593</v>
      </c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4"/>
      <c r="BP1047" s="4"/>
      <c r="BQ1047" s="4"/>
      <c r="BR1047" s="4"/>
      <c r="BS1047" s="4"/>
      <c r="BT1047" s="22"/>
      <c r="BU1047" s="24"/>
    </row>
    <row r="1048" spans="1:73" ht="73.5" customHeight="1" outlineLevel="2">
      <c r="A1048" s="46" t="s">
        <v>372</v>
      </c>
      <c r="B1048" s="45" t="s">
        <v>235</v>
      </c>
      <c r="C1048" s="39">
        <f t="shared" si="182"/>
        <v>6999.811890000001</v>
      </c>
      <c r="D1048" s="1">
        <f t="shared" si="180"/>
        <v>3497.1842500000002</v>
      </c>
      <c r="E1048" s="1">
        <f t="shared" si="181"/>
        <v>3502.62764</v>
      </c>
      <c r="F1048" s="22"/>
      <c r="G1048" s="22"/>
      <c r="H1048" s="22"/>
      <c r="I1048" s="22"/>
      <c r="J1048" s="22">
        <v>1854.7406</v>
      </c>
      <c r="K1048" s="22">
        <v>694.28653</v>
      </c>
      <c r="L1048" s="22">
        <v>75.49173</v>
      </c>
      <c r="M1048" s="22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22"/>
      <c r="AA1048" s="22">
        <v>144.18</v>
      </c>
      <c r="AB1048" s="4"/>
      <c r="AC1048" s="4"/>
      <c r="AD1048" s="22"/>
      <c r="AE1048" s="22"/>
      <c r="AF1048" s="22"/>
      <c r="AG1048" s="22"/>
      <c r="AH1048" s="20">
        <f>17.6625+29.74389+38.5416+106.4152+77.2084</f>
        <v>269.57159</v>
      </c>
      <c r="AI1048" s="4">
        <f>106.4152+77.2084</f>
        <v>183.6236</v>
      </c>
      <c r="AJ1048" s="22">
        <v>85.94799</v>
      </c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4"/>
      <c r="BA1048" s="4"/>
      <c r="BB1048" s="4"/>
      <c r="BC1048" s="22"/>
      <c r="BD1048" s="22">
        <v>1293.53002</v>
      </c>
      <c r="BE1048" s="22"/>
      <c r="BF1048" s="22">
        <v>1642.44365</v>
      </c>
      <c r="BG1048" s="22">
        <v>1025.56777</v>
      </c>
      <c r="BH1048" s="22"/>
      <c r="BI1048" s="22"/>
      <c r="BJ1048" s="22"/>
      <c r="BK1048" s="22"/>
      <c r="BL1048" s="22"/>
      <c r="BM1048" s="22"/>
      <c r="BN1048" s="22"/>
      <c r="BO1048" s="4"/>
      <c r="BP1048" s="4"/>
      <c r="BQ1048" s="4"/>
      <c r="BR1048" s="4"/>
      <c r="BS1048" s="4"/>
      <c r="BT1048" s="22"/>
      <c r="BU1048" s="24"/>
    </row>
    <row r="1049" spans="1:73" ht="73.5" customHeight="1" outlineLevel="2">
      <c r="A1049" s="44" t="s">
        <v>372</v>
      </c>
      <c r="B1049" s="26" t="s">
        <v>237</v>
      </c>
      <c r="C1049" s="39">
        <f t="shared" si="182"/>
        <v>365.0624</v>
      </c>
      <c r="D1049" s="1">
        <f t="shared" si="180"/>
        <v>186.42785</v>
      </c>
      <c r="E1049" s="1">
        <f t="shared" si="181"/>
        <v>178.63455</v>
      </c>
      <c r="F1049" s="22"/>
      <c r="G1049" s="22"/>
      <c r="H1049" s="22"/>
      <c r="I1049" s="22"/>
      <c r="J1049" s="22"/>
      <c r="K1049" s="22"/>
      <c r="L1049" s="22"/>
      <c r="M1049" s="22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22">
        <v>43.43946</v>
      </c>
      <c r="AA1049" s="22">
        <v>41.31</v>
      </c>
      <c r="AB1049" s="23"/>
      <c r="AC1049" s="4"/>
      <c r="AD1049" s="22"/>
      <c r="AE1049" s="22"/>
      <c r="AF1049" s="22"/>
      <c r="AG1049" s="22"/>
      <c r="AH1049" s="20">
        <f>10.81596+14.4531+22.4848</f>
        <v>47.75386</v>
      </c>
      <c r="AI1049" s="4">
        <v>22.4848</v>
      </c>
      <c r="AJ1049" s="22">
        <v>25.26906</v>
      </c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4"/>
      <c r="BA1049" s="4"/>
      <c r="BB1049" s="4"/>
      <c r="BC1049" s="22"/>
      <c r="BD1049" s="22"/>
      <c r="BE1049" s="22"/>
      <c r="BF1049" s="22">
        <v>142.98839</v>
      </c>
      <c r="BG1049" s="22">
        <v>89.57069</v>
      </c>
      <c r="BH1049" s="22"/>
      <c r="BI1049" s="22"/>
      <c r="BJ1049" s="22"/>
      <c r="BK1049" s="22"/>
      <c r="BL1049" s="22"/>
      <c r="BM1049" s="22"/>
      <c r="BN1049" s="22"/>
      <c r="BO1049" s="4"/>
      <c r="BP1049" s="4"/>
      <c r="BQ1049" s="4"/>
      <c r="BR1049" s="4"/>
      <c r="BS1049" s="4"/>
      <c r="BT1049" s="22"/>
      <c r="BU1049" s="24"/>
    </row>
    <row r="1050" spans="1:73" ht="73.5" customHeight="1" outlineLevel="2">
      <c r="A1050" s="44" t="s">
        <v>372</v>
      </c>
      <c r="B1050" s="26" t="s">
        <v>236</v>
      </c>
      <c r="C1050" s="39">
        <f t="shared" si="182"/>
        <v>10736.26872</v>
      </c>
      <c r="D1050" s="1">
        <f t="shared" si="180"/>
        <v>5164.46554</v>
      </c>
      <c r="E1050" s="1">
        <f t="shared" si="181"/>
        <v>5571.803180000001</v>
      </c>
      <c r="F1050" s="22"/>
      <c r="G1050" s="22"/>
      <c r="H1050" s="22"/>
      <c r="I1050" s="22"/>
      <c r="J1050" s="22"/>
      <c r="K1050" s="22"/>
      <c r="L1050" s="22">
        <v>487.48858</v>
      </c>
      <c r="M1050" s="22"/>
      <c r="N1050" s="4"/>
      <c r="O1050" s="4"/>
      <c r="P1050" s="4"/>
      <c r="Q1050" s="4"/>
      <c r="R1050" s="4">
        <v>562.08827</v>
      </c>
      <c r="S1050" s="4">
        <v>462.84084</v>
      </c>
      <c r="T1050" s="4"/>
      <c r="U1050" s="4"/>
      <c r="V1050" s="4"/>
      <c r="W1050" s="4"/>
      <c r="X1050" s="4"/>
      <c r="Y1050" s="4"/>
      <c r="Z1050" s="22">
        <v>440</v>
      </c>
      <c r="AA1050" s="22">
        <v>212.96017</v>
      </c>
      <c r="AB1050" s="23">
        <v>1151.30066</v>
      </c>
      <c r="AC1050" s="4">
        <v>582.7283</v>
      </c>
      <c r="AD1050" s="22"/>
      <c r="AE1050" s="22"/>
      <c r="AF1050" s="22"/>
      <c r="AG1050" s="22"/>
      <c r="AH1050" s="20">
        <f>373.37175+345.8494+455.00465</f>
        <v>1174.2258000000002</v>
      </c>
      <c r="AI1050" s="41">
        <f>345.8494+455.00465</f>
        <v>800.85405</v>
      </c>
      <c r="AJ1050" s="22">
        <v>373.37175</v>
      </c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>
        <v>440.96</v>
      </c>
      <c r="AY1050" s="22"/>
      <c r="AZ1050" s="4"/>
      <c r="BA1050" s="4"/>
      <c r="BB1050" s="4"/>
      <c r="BC1050" s="22"/>
      <c r="BD1050" s="22">
        <v>331.64744</v>
      </c>
      <c r="BE1050" s="22"/>
      <c r="BF1050" s="22">
        <v>3011.07661</v>
      </c>
      <c r="BG1050" s="22">
        <v>1878.95205</v>
      </c>
      <c r="BH1050" s="22"/>
      <c r="BI1050" s="22"/>
      <c r="BJ1050" s="22"/>
      <c r="BK1050" s="22"/>
      <c r="BL1050" s="22"/>
      <c r="BM1050" s="22"/>
      <c r="BN1050" s="22"/>
      <c r="BO1050" s="4"/>
      <c r="BP1050" s="4"/>
      <c r="BQ1050" s="4"/>
      <c r="BR1050" s="4"/>
      <c r="BS1050" s="4"/>
      <c r="BT1050" s="22"/>
      <c r="BU1050" s="24"/>
    </row>
    <row r="1051" spans="1:73" ht="73.5" customHeight="1" outlineLevel="2">
      <c r="A1051" s="44" t="s">
        <v>372</v>
      </c>
      <c r="B1051" s="45" t="s">
        <v>301</v>
      </c>
      <c r="C1051" s="39">
        <f t="shared" si="182"/>
        <v>121.41663</v>
      </c>
      <c r="D1051" s="1">
        <f t="shared" si="180"/>
        <v>74.70321</v>
      </c>
      <c r="E1051" s="1">
        <f t="shared" si="181"/>
        <v>46.71342</v>
      </c>
      <c r="F1051" s="22"/>
      <c r="G1051" s="22"/>
      <c r="H1051" s="22"/>
      <c r="I1051" s="22"/>
      <c r="J1051" s="22"/>
      <c r="K1051" s="22"/>
      <c r="L1051" s="22"/>
      <c r="M1051" s="22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22"/>
      <c r="AA1051" s="22"/>
      <c r="AB1051" s="23"/>
      <c r="AC1051" s="4"/>
      <c r="AD1051" s="22"/>
      <c r="AE1051" s="22"/>
      <c r="AF1051" s="22"/>
      <c r="AG1051" s="22"/>
      <c r="AH1051" s="20"/>
      <c r="AI1051" s="4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4"/>
      <c r="BA1051" s="4"/>
      <c r="BB1051" s="4"/>
      <c r="BC1051" s="22"/>
      <c r="BD1051" s="22"/>
      <c r="BE1051" s="22"/>
      <c r="BF1051" s="22">
        <v>74.70321</v>
      </c>
      <c r="BG1051" s="22">
        <v>46.71342</v>
      </c>
      <c r="BH1051" s="22"/>
      <c r="BI1051" s="22"/>
      <c r="BJ1051" s="22"/>
      <c r="BK1051" s="22"/>
      <c r="BL1051" s="22"/>
      <c r="BM1051" s="22"/>
      <c r="BN1051" s="22"/>
      <c r="BO1051" s="4"/>
      <c r="BP1051" s="4"/>
      <c r="BQ1051" s="4"/>
      <c r="BR1051" s="4"/>
      <c r="BS1051" s="4"/>
      <c r="BT1051" s="22"/>
      <c r="BU1051" s="24"/>
    </row>
    <row r="1052" spans="1:73" ht="73.5" customHeight="1" outlineLevel="2">
      <c r="A1052" s="44" t="s">
        <v>372</v>
      </c>
      <c r="B1052" s="45" t="s">
        <v>831</v>
      </c>
      <c r="C1052" s="39">
        <f>D1052+E1052</f>
        <v>5.7915</v>
      </c>
      <c r="D1052" s="1">
        <f t="shared" si="180"/>
        <v>0</v>
      </c>
      <c r="E1052" s="1">
        <f t="shared" si="181"/>
        <v>5.7915</v>
      </c>
      <c r="F1052" s="22"/>
      <c r="G1052" s="22"/>
      <c r="H1052" s="22"/>
      <c r="I1052" s="22"/>
      <c r="J1052" s="22"/>
      <c r="K1052" s="22"/>
      <c r="L1052" s="22"/>
      <c r="M1052" s="22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22"/>
      <c r="AA1052" s="22">
        <v>5.7915</v>
      </c>
      <c r="AB1052" s="23"/>
      <c r="AC1052" s="4"/>
      <c r="AD1052" s="22"/>
      <c r="AE1052" s="22"/>
      <c r="AF1052" s="22"/>
      <c r="AG1052" s="22"/>
      <c r="AH1052" s="20"/>
      <c r="AI1052" s="4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4"/>
      <c r="BA1052" s="4"/>
      <c r="BB1052" s="4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4"/>
      <c r="BP1052" s="4"/>
      <c r="BQ1052" s="4"/>
      <c r="BR1052" s="4"/>
      <c r="BS1052" s="4"/>
      <c r="BT1052" s="22"/>
      <c r="BU1052" s="24"/>
    </row>
    <row r="1053" spans="1:73" ht="73.5" customHeight="1" outlineLevel="2">
      <c r="A1053" s="44" t="s">
        <v>372</v>
      </c>
      <c r="B1053" s="45" t="s">
        <v>1106</v>
      </c>
      <c r="C1053" s="39">
        <f t="shared" si="182"/>
        <v>31.28466</v>
      </c>
      <c r="D1053" s="1">
        <f t="shared" si="180"/>
        <v>19.27115</v>
      </c>
      <c r="E1053" s="1">
        <f t="shared" si="181"/>
        <v>12.01351</v>
      </c>
      <c r="F1053" s="22"/>
      <c r="G1053" s="22"/>
      <c r="H1053" s="22"/>
      <c r="I1053" s="22"/>
      <c r="J1053" s="22"/>
      <c r="K1053" s="22"/>
      <c r="L1053" s="22"/>
      <c r="M1053" s="22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22"/>
      <c r="AA1053" s="22"/>
      <c r="AB1053" s="4"/>
      <c r="AC1053" s="4"/>
      <c r="AD1053" s="22"/>
      <c r="AE1053" s="22"/>
      <c r="AF1053" s="22"/>
      <c r="AG1053" s="22"/>
      <c r="AH1053" s="20"/>
      <c r="AI1053" s="4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4"/>
      <c r="BA1053" s="4"/>
      <c r="BB1053" s="4"/>
      <c r="BC1053" s="22"/>
      <c r="BD1053" s="22"/>
      <c r="BE1053" s="22"/>
      <c r="BF1053" s="22">
        <v>19.27115</v>
      </c>
      <c r="BG1053" s="22">
        <v>12.01351</v>
      </c>
      <c r="BH1053" s="22"/>
      <c r="BI1053" s="22"/>
      <c r="BJ1053" s="22"/>
      <c r="BK1053" s="22"/>
      <c r="BL1053" s="22"/>
      <c r="BM1053" s="22"/>
      <c r="BN1053" s="22"/>
      <c r="BO1053" s="4"/>
      <c r="BP1053" s="4"/>
      <c r="BQ1053" s="4"/>
      <c r="BR1053" s="4"/>
      <c r="BS1053" s="4"/>
      <c r="BT1053" s="22"/>
      <c r="BU1053" s="24"/>
    </row>
    <row r="1054" spans="1:73" ht="73.5" customHeight="1" outlineLevel="2">
      <c r="A1054" s="44" t="s">
        <v>372</v>
      </c>
      <c r="B1054" s="45" t="s">
        <v>1107</v>
      </c>
      <c r="C1054" s="39">
        <f>D1054+E1054</f>
        <v>2469.6</v>
      </c>
      <c r="D1054" s="1">
        <f t="shared" si="180"/>
        <v>0</v>
      </c>
      <c r="E1054" s="1">
        <f t="shared" si="181"/>
        <v>2469.6</v>
      </c>
      <c r="F1054" s="22"/>
      <c r="G1054" s="22"/>
      <c r="H1054" s="22"/>
      <c r="I1054" s="22"/>
      <c r="J1054" s="22"/>
      <c r="K1054" s="22"/>
      <c r="L1054" s="22"/>
      <c r="M1054" s="22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22"/>
      <c r="AA1054" s="22"/>
      <c r="AB1054" s="4"/>
      <c r="AC1054" s="4"/>
      <c r="AD1054" s="22"/>
      <c r="AE1054" s="22"/>
      <c r="AF1054" s="22"/>
      <c r="AG1054" s="22"/>
      <c r="AH1054" s="20"/>
      <c r="AI1054" s="4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4"/>
      <c r="BA1054" s="4"/>
      <c r="BB1054" s="4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4"/>
      <c r="BP1054" s="4">
        <v>2469.6</v>
      </c>
      <c r="BQ1054" s="4"/>
      <c r="BR1054" s="4"/>
      <c r="BS1054" s="4"/>
      <c r="BT1054" s="22"/>
      <c r="BU1054" s="24"/>
    </row>
    <row r="1055" spans="1:73" ht="73.5" customHeight="1" outlineLevel="2">
      <c r="A1055" s="44" t="s">
        <v>372</v>
      </c>
      <c r="B1055" s="45" t="s">
        <v>1108</v>
      </c>
      <c r="C1055" s="39">
        <f>D1055+E1055</f>
        <v>3000</v>
      </c>
      <c r="D1055" s="1">
        <f t="shared" si="180"/>
        <v>1500</v>
      </c>
      <c r="E1055" s="1">
        <f t="shared" si="181"/>
        <v>1500</v>
      </c>
      <c r="F1055" s="22"/>
      <c r="G1055" s="22"/>
      <c r="H1055" s="22"/>
      <c r="I1055" s="22"/>
      <c r="J1055" s="22"/>
      <c r="K1055" s="22"/>
      <c r="L1055" s="22"/>
      <c r="M1055" s="22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22"/>
      <c r="AA1055" s="22"/>
      <c r="AB1055" s="4"/>
      <c r="AC1055" s="4"/>
      <c r="AD1055" s="22"/>
      <c r="AE1055" s="22"/>
      <c r="AF1055" s="22"/>
      <c r="AG1055" s="22"/>
      <c r="AH1055" s="20"/>
      <c r="AI1055" s="4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4"/>
      <c r="BA1055" s="4"/>
      <c r="BB1055" s="4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4">
        <v>1500</v>
      </c>
      <c r="BP1055" s="4">
        <v>1500</v>
      </c>
      <c r="BQ1055" s="4"/>
      <c r="BR1055" s="4"/>
      <c r="BS1055" s="4"/>
      <c r="BT1055" s="22"/>
      <c r="BU1055" s="24"/>
    </row>
    <row r="1056" spans="1:73" ht="73.5" customHeight="1" outlineLevel="2">
      <c r="A1056" s="44" t="s">
        <v>372</v>
      </c>
      <c r="B1056" s="45" t="s">
        <v>1109</v>
      </c>
      <c r="C1056" s="39">
        <f t="shared" si="182"/>
        <v>55.92729</v>
      </c>
      <c r="D1056" s="1">
        <f t="shared" si="180"/>
        <v>33.90516</v>
      </c>
      <c r="E1056" s="1">
        <f t="shared" si="181"/>
        <v>22.02213</v>
      </c>
      <c r="F1056" s="22"/>
      <c r="G1056" s="22"/>
      <c r="H1056" s="22"/>
      <c r="I1056" s="22"/>
      <c r="J1056" s="22"/>
      <c r="K1056" s="22"/>
      <c r="L1056" s="22"/>
      <c r="M1056" s="22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22"/>
      <c r="AA1056" s="22"/>
      <c r="AB1056" s="4"/>
      <c r="AC1056" s="4"/>
      <c r="AD1056" s="22"/>
      <c r="AE1056" s="22"/>
      <c r="AF1056" s="22"/>
      <c r="AG1056" s="22"/>
      <c r="AH1056" s="20"/>
      <c r="AI1056" s="4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4"/>
      <c r="BA1056" s="4"/>
      <c r="BB1056" s="4"/>
      <c r="BC1056" s="22"/>
      <c r="BD1056" s="22"/>
      <c r="BE1056" s="22"/>
      <c r="BF1056" s="22">
        <v>33.90516</v>
      </c>
      <c r="BG1056" s="22">
        <v>3.76634</v>
      </c>
      <c r="BH1056" s="22"/>
      <c r="BI1056" s="22">
        <v>18.25579</v>
      </c>
      <c r="BJ1056" s="22"/>
      <c r="BK1056" s="22"/>
      <c r="BL1056" s="22"/>
      <c r="BM1056" s="22"/>
      <c r="BN1056" s="22"/>
      <c r="BO1056" s="4"/>
      <c r="BP1056" s="4"/>
      <c r="BQ1056" s="4"/>
      <c r="BR1056" s="4"/>
      <c r="BS1056" s="4"/>
      <c r="BT1056" s="22"/>
      <c r="BU1056" s="24"/>
    </row>
    <row r="1057" spans="1:73" ht="73.5" customHeight="1" outlineLevel="2">
      <c r="A1057" s="44" t="s">
        <v>372</v>
      </c>
      <c r="B1057" s="45" t="s">
        <v>1110</v>
      </c>
      <c r="C1057" s="39">
        <f t="shared" si="182"/>
        <v>56.70126</v>
      </c>
      <c r="D1057" s="1">
        <f t="shared" si="180"/>
        <v>36.54893</v>
      </c>
      <c r="E1057" s="1">
        <f t="shared" si="181"/>
        <v>20.15233</v>
      </c>
      <c r="F1057" s="22"/>
      <c r="G1057" s="22"/>
      <c r="H1057" s="22"/>
      <c r="I1057" s="22"/>
      <c r="J1057" s="22"/>
      <c r="K1057" s="22"/>
      <c r="L1057" s="22"/>
      <c r="M1057" s="22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22"/>
      <c r="AA1057" s="22"/>
      <c r="AB1057" s="4">
        <v>19.94722</v>
      </c>
      <c r="AC1057" s="4">
        <v>9.78984</v>
      </c>
      <c r="AD1057" s="22"/>
      <c r="AE1057" s="22"/>
      <c r="AF1057" s="22"/>
      <c r="AG1057" s="22"/>
      <c r="AH1057" s="20"/>
      <c r="AI1057" s="4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4"/>
      <c r="BA1057" s="4"/>
      <c r="BB1057" s="4"/>
      <c r="BC1057" s="22"/>
      <c r="BD1057" s="22"/>
      <c r="BE1057" s="22"/>
      <c r="BF1057" s="22">
        <v>16.60171</v>
      </c>
      <c r="BG1057" s="22">
        <v>10.36249</v>
      </c>
      <c r="BH1057" s="22"/>
      <c r="BI1057" s="22"/>
      <c r="BJ1057" s="22"/>
      <c r="BK1057" s="22"/>
      <c r="BL1057" s="22"/>
      <c r="BM1057" s="22"/>
      <c r="BN1057" s="22"/>
      <c r="BO1057" s="4"/>
      <c r="BP1057" s="4"/>
      <c r="BQ1057" s="4"/>
      <c r="BR1057" s="4"/>
      <c r="BS1057" s="4"/>
      <c r="BT1057" s="22"/>
      <c r="BU1057" s="24"/>
    </row>
    <row r="1058" spans="1:73" ht="73.5" customHeight="1" outlineLevel="2">
      <c r="A1058" s="44" t="s">
        <v>372</v>
      </c>
      <c r="B1058" s="45" t="s">
        <v>1111</v>
      </c>
      <c r="C1058" s="39">
        <f t="shared" si="182"/>
        <v>19.03327</v>
      </c>
      <c r="D1058" s="1">
        <f t="shared" si="180"/>
        <v>11.71319</v>
      </c>
      <c r="E1058" s="1">
        <f t="shared" si="181"/>
        <v>7.32008</v>
      </c>
      <c r="F1058" s="22"/>
      <c r="G1058" s="22"/>
      <c r="H1058" s="22"/>
      <c r="I1058" s="22"/>
      <c r="J1058" s="22"/>
      <c r="K1058" s="22"/>
      <c r="L1058" s="22"/>
      <c r="M1058" s="22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22"/>
      <c r="AA1058" s="22"/>
      <c r="AB1058" s="4"/>
      <c r="AC1058" s="4"/>
      <c r="AD1058" s="22"/>
      <c r="AE1058" s="22"/>
      <c r="AF1058" s="22"/>
      <c r="AG1058" s="22"/>
      <c r="AH1058" s="20"/>
      <c r="AI1058" s="4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4"/>
      <c r="BA1058" s="4"/>
      <c r="BB1058" s="4"/>
      <c r="BC1058" s="22"/>
      <c r="BD1058" s="22"/>
      <c r="BE1058" s="22"/>
      <c r="BF1058" s="22">
        <v>11.71319</v>
      </c>
      <c r="BG1058" s="22">
        <v>7.32008</v>
      </c>
      <c r="BH1058" s="22"/>
      <c r="BI1058" s="22"/>
      <c r="BJ1058" s="22"/>
      <c r="BK1058" s="22"/>
      <c r="BL1058" s="22"/>
      <c r="BM1058" s="22"/>
      <c r="BN1058" s="22"/>
      <c r="BO1058" s="4"/>
      <c r="BP1058" s="4"/>
      <c r="BQ1058" s="4"/>
      <c r="BR1058" s="4"/>
      <c r="BS1058" s="4"/>
      <c r="BT1058" s="22"/>
      <c r="BU1058" s="24"/>
    </row>
    <row r="1059" spans="1:73" ht="73.5" customHeight="1" outlineLevel="2">
      <c r="A1059" s="44" t="s">
        <v>372</v>
      </c>
      <c r="B1059" s="45" t="s">
        <v>1112</v>
      </c>
      <c r="C1059" s="39">
        <f t="shared" si="182"/>
        <v>11.00337</v>
      </c>
      <c r="D1059" s="1">
        <f t="shared" si="180"/>
        <v>6.7744100000000005</v>
      </c>
      <c r="E1059" s="1">
        <f t="shared" si="181"/>
        <v>4.22896</v>
      </c>
      <c r="F1059" s="22"/>
      <c r="G1059" s="22"/>
      <c r="H1059" s="22"/>
      <c r="I1059" s="22"/>
      <c r="J1059" s="22"/>
      <c r="K1059" s="22"/>
      <c r="L1059" s="22"/>
      <c r="M1059" s="22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22"/>
      <c r="AA1059" s="22"/>
      <c r="AB1059" s="4"/>
      <c r="AC1059" s="4"/>
      <c r="AD1059" s="22"/>
      <c r="AE1059" s="22"/>
      <c r="AF1059" s="22"/>
      <c r="AG1059" s="22"/>
      <c r="AH1059" s="20"/>
      <c r="AI1059" s="4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4"/>
      <c r="BA1059" s="4"/>
      <c r="BB1059" s="4"/>
      <c r="BC1059" s="22"/>
      <c r="BD1059" s="22"/>
      <c r="BE1059" s="22"/>
      <c r="BF1059" s="22">
        <f>8.64131-1.8669</f>
        <v>6.7744100000000005</v>
      </c>
      <c r="BG1059" s="22">
        <f>5.40126-1.1723</f>
        <v>4.22896</v>
      </c>
      <c r="BH1059" s="22"/>
      <c r="BI1059" s="22"/>
      <c r="BJ1059" s="22"/>
      <c r="BK1059" s="22"/>
      <c r="BL1059" s="22"/>
      <c r="BM1059" s="22"/>
      <c r="BN1059" s="22"/>
      <c r="BO1059" s="4"/>
      <c r="BP1059" s="4"/>
      <c r="BQ1059" s="4"/>
      <c r="BR1059" s="4"/>
      <c r="BS1059" s="4"/>
      <c r="BT1059" s="22"/>
      <c r="BU1059" s="24"/>
    </row>
    <row r="1060" spans="1:73" ht="73.5" customHeight="1" outlineLevel="2">
      <c r="A1060" s="44" t="s">
        <v>372</v>
      </c>
      <c r="B1060" s="45" t="s">
        <v>515</v>
      </c>
      <c r="C1060" s="39">
        <f t="shared" si="182"/>
        <v>148.8</v>
      </c>
      <c r="D1060" s="1">
        <f t="shared" si="180"/>
        <v>0</v>
      </c>
      <c r="E1060" s="1">
        <f t="shared" si="181"/>
        <v>148.8</v>
      </c>
      <c r="F1060" s="22"/>
      <c r="G1060" s="22"/>
      <c r="H1060" s="22"/>
      <c r="I1060" s="22"/>
      <c r="J1060" s="22"/>
      <c r="K1060" s="22"/>
      <c r="L1060" s="22"/>
      <c r="M1060" s="22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22"/>
      <c r="AA1060" s="22"/>
      <c r="AB1060" s="23"/>
      <c r="AC1060" s="4"/>
      <c r="AD1060" s="22"/>
      <c r="AE1060" s="22"/>
      <c r="AF1060" s="22"/>
      <c r="AG1060" s="22"/>
      <c r="AH1060" s="20"/>
      <c r="AI1060" s="4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4"/>
      <c r="BA1060" s="4"/>
      <c r="BB1060" s="4"/>
      <c r="BC1060" s="22"/>
      <c r="BD1060" s="22"/>
      <c r="BE1060" s="22">
        <v>148.8</v>
      </c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4"/>
      <c r="BP1060" s="4"/>
      <c r="BQ1060" s="4"/>
      <c r="BR1060" s="4"/>
      <c r="BS1060" s="4"/>
      <c r="BT1060" s="22"/>
      <c r="BU1060" s="24"/>
    </row>
    <row r="1061" spans="1:73" ht="73.5" customHeight="1" outlineLevel="2">
      <c r="A1061" s="44" t="s">
        <v>372</v>
      </c>
      <c r="B1061" s="45" t="s">
        <v>846</v>
      </c>
      <c r="C1061" s="39">
        <f>D1061+E1061</f>
        <v>2866.545</v>
      </c>
      <c r="D1061" s="1">
        <f t="shared" si="180"/>
        <v>0</v>
      </c>
      <c r="E1061" s="1">
        <f t="shared" si="181"/>
        <v>2866.545</v>
      </c>
      <c r="F1061" s="22"/>
      <c r="G1061" s="22"/>
      <c r="H1061" s="22"/>
      <c r="I1061" s="22"/>
      <c r="J1061" s="22"/>
      <c r="K1061" s="22"/>
      <c r="L1061" s="22"/>
      <c r="M1061" s="22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22"/>
      <c r="AA1061" s="22"/>
      <c r="AB1061" s="23"/>
      <c r="AC1061" s="4"/>
      <c r="AD1061" s="22"/>
      <c r="AE1061" s="22"/>
      <c r="AF1061" s="22"/>
      <c r="AG1061" s="22"/>
      <c r="AH1061" s="20"/>
      <c r="AI1061" s="4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4"/>
      <c r="BA1061" s="4"/>
      <c r="BB1061" s="4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4"/>
      <c r="BP1061" s="4">
        <v>2866.545</v>
      </c>
      <c r="BQ1061" s="4"/>
      <c r="BR1061" s="4"/>
      <c r="BS1061" s="4"/>
      <c r="BT1061" s="22"/>
      <c r="BU1061" s="24"/>
    </row>
    <row r="1062" spans="1:73" ht="73.5" customHeight="1" outlineLevel="2">
      <c r="A1062" s="44" t="s">
        <v>372</v>
      </c>
      <c r="B1062" s="45" t="s">
        <v>1113</v>
      </c>
      <c r="C1062" s="2">
        <f t="shared" si="182"/>
        <v>16.27736</v>
      </c>
      <c r="D1062" s="1">
        <f t="shared" si="180"/>
        <v>10.04194</v>
      </c>
      <c r="E1062" s="1">
        <f t="shared" si="181"/>
        <v>6.23542</v>
      </c>
      <c r="F1062" s="22"/>
      <c r="G1062" s="22"/>
      <c r="H1062" s="22"/>
      <c r="I1062" s="22"/>
      <c r="J1062" s="22"/>
      <c r="K1062" s="22"/>
      <c r="L1062" s="22"/>
      <c r="M1062" s="22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22"/>
      <c r="AA1062" s="22"/>
      <c r="AB1062" s="23"/>
      <c r="AC1062" s="4"/>
      <c r="AD1062" s="22"/>
      <c r="AE1062" s="22"/>
      <c r="AF1062" s="22"/>
      <c r="AG1062" s="22"/>
      <c r="AH1062" s="20"/>
      <c r="AI1062" s="4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4"/>
      <c r="BA1062" s="4"/>
      <c r="BB1062" s="4"/>
      <c r="BC1062" s="22"/>
      <c r="BD1062" s="22"/>
      <c r="BE1062" s="22"/>
      <c r="BF1062" s="22">
        <v>10.04194</v>
      </c>
      <c r="BG1062" s="22">
        <v>6.23542</v>
      </c>
      <c r="BH1062" s="22"/>
      <c r="BI1062" s="22"/>
      <c r="BJ1062" s="22"/>
      <c r="BK1062" s="22"/>
      <c r="BL1062" s="22"/>
      <c r="BM1062" s="22"/>
      <c r="BN1062" s="22"/>
      <c r="BO1062" s="4"/>
      <c r="BP1062" s="4"/>
      <c r="BQ1062" s="4"/>
      <c r="BR1062" s="4"/>
      <c r="BS1062" s="4"/>
      <c r="BT1062" s="22"/>
      <c r="BU1062" s="24"/>
    </row>
    <row r="1063" spans="1:73" ht="73.5" customHeight="1" outlineLevel="2">
      <c r="A1063" s="44" t="s">
        <v>372</v>
      </c>
      <c r="B1063" s="45" t="s">
        <v>1114</v>
      </c>
      <c r="C1063" s="2">
        <f t="shared" si="182"/>
        <v>157.25924</v>
      </c>
      <c r="D1063" s="1">
        <f t="shared" si="180"/>
        <v>124.81106</v>
      </c>
      <c r="E1063" s="1">
        <f t="shared" si="181"/>
        <v>32.44818</v>
      </c>
      <c r="F1063" s="22"/>
      <c r="G1063" s="22"/>
      <c r="H1063" s="22"/>
      <c r="I1063" s="22"/>
      <c r="J1063" s="22"/>
      <c r="K1063" s="22"/>
      <c r="L1063" s="22"/>
      <c r="M1063" s="22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22"/>
      <c r="AA1063" s="22"/>
      <c r="AB1063" s="23">
        <v>27.76537</v>
      </c>
      <c r="AC1063" s="4">
        <v>13.98548</v>
      </c>
      <c r="AD1063" s="22"/>
      <c r="AE1063" s="22"/>
      <c r="AF1063" s="22"/>
      <c r="AG1063" s="22"/>
      <c r="AH1063" s="20"/>
      <c r="AI1063" s="4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4"/>
      <c r="BA1063" s="4"/>
      <c r="BB1063" s="4"/>
      <c r="BC1063" s="22"/>
      <c r="BD1063" s="22"/>
      <c r="BE1063" s="22"/>
      <c r="BF1063" s="22">
        <v>29.54569</v>
      </c>
      <c r="BG1063" s="22">
        <v>18.4627</v>
      </c>
      <c r="BH1063" s="22">
        <v>67.5</v>
      </c>
      <c r="BI1063" s="22"/>
      <c r="BJ1063" s="22"/>
      <c r="BK1063" s="22"/>
      <c r="BL1063" s="22"/>
      <c r="BM1063" s="22"/>
      <c r="BN1063" s="22"/>
      <c r="BO1063" s="4"/>
      <c r="BP1063" s="4"/>
      <c r="BQ1063" s="4"/>
      <c r="BR1063" s="4"/>
      <c r="BS1063" s="4"/>
      <c r="BT1063" s="22"/>
      <c r="BU1063" s="24"/>
    </row>
    <row r="1064" spans="1:73" ht="73.5" customHeight="1" outlineLevel="2">
      <c r="A1064" s="44" t="s">
        <v>372</v>
      </c>
      <c r="B1064" s="45" t="s">
        <v>835</v>
      </c>
      <c r="C1064" s="2">
        <f>D1064+E1064</f>
        <v>2393.39496</v>
      </c>
      <c r="D1064" s="1">
        <f t="shared" si="180"/>
        <v>0</v>
      </c>
      <c r="E1064" s="1">
        <f t="shared" si="181"/>
        <v>2393.39496</v>
      </c>
      <c r="F1064" s="22"/>
      <c r="G1064" s="22"/>
      <c r="H1064" s="22"/>
      <c r="I1064" s="22"/>
      <c r="J1064" s="22"/>
      <c r="K1064" s="22"/>
      <c r="L1064" s="22"/>
      <c r="M1064" s="22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22"/>
      <c r="AA1064" s="22"/>
      <c r="AB1064" s="23"/>
      <c r="AC1064" s="4"/>
      <c r="AD1064" s="22"/>
      <c r="AE1064" s="22"/>
      <c r="AF1064" s="22"/>
      <c r="AG1064" s="22"/>
      <c r="AH1064" s="20"/>
      <c r="AI1064" s="4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4"/>
      <c r="BA1064" s="4"/>
      <c r="BB1064" s="4"/>
      <c r="BC1064" s="22"/>
      <c r="BD1064" s="22"/>
      <c r="BE1064" s="22">
        <v>2393.39496</v>
      </c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4"/>
      <c r="BP1064" s="4"/>
      <c r="BQ1064" s="4"/>
      <c r="BR1064" s="4"/>
      <c r="BS1064" s="4"/>
      <c r="BT1064" s="22"/>
      <c r="BU1064" s="24"/>
    </row>
    <row r="1065" spans="1:73" ht="73.5" customHeight="1" outlineLevel="2">
      <c r="A1065" s="44" t="s">
        <v>372</v>
      </c>
      <c r="B1065" s="45" t="s">
        <v>1115</v>
      </c>
      <c r="C1065" s="2">
        <f t="shared" si="182"/>
        <v>485.47625000000005</v>
      </c>
      <c r="D1065" s="1">
        <f t="shared" si="180"/>
        <v>299.10527</v>
      </c>
      <c r="E1065" s="1">
        <f t="shared" si="181"/>
        <v>186.37098</v>
      </c>
      <c r="F1065" s="22"/>
      <c r="G1065" s="22"/>
      <c r="H1065" s="22"/>
      <c r="I1065" s="22"/>
      <c r="J1065" s="22"/>
      <c r="K1065" s="22"/>
      <c r="L1065" s="22"/>
      <c r="M1065" s="22"/>
      <c r="N1065" s="4">
        <v>42.75006</v>
      </c>
      <c r="O1065" s="4">
        <v>1.96622</v>
      </c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22"/>
      <c r="AA1065" s="22"/>
      <c r="AB1065" s="23">
        <v>122.75215</v>
      </c>
      <c r="AC1065" s="4">
        <v>55.94192</v>
      </c>
      <c r="AD1065" s="22"/>
      <c r="AE1065" s="22"/>
      <c r="AF1065" s="22"/>
      <c r="AG1065" s="22"/>
      <c r="AH1065" s="20">
        <f>22.53325+22.4848</f>
        <v>45.01805</v>
      </c>
      <c r="AI1065" s="4">
        <v>22.4848</v>
      </c>
      <c r="AJ1065" s="22">
        <v>22.53325</v>
      </c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4"/>
      <c r="BA1065" s="4"/>
      <c r="BB1065" s="4"/>
      <c r="BC1065" s="22"/>
      <c r="BD1065" s="22"/>
      <c r="BE1065" s="22"/>
      <c r="BF1065" s="22">
        <v>133.60306</v>
      </c>
      <c r="BG1065" s="22">
        <v>83.44479</v>
      </c>
      <c r="BH1065" s="22"/>
      <c r="BI1065" s="22"/>
      <c r="BJ1065" s="22"/>
      <c r="BK1065" s="22"/>
      <c r="BL1065" s="22"/>
      <c r="BM1065" s="22"/>
      <c r="BN1065" s="22"/>
      <c r="BO1065" s="4"/>
      <c r="BP1065" s="4"/>
      <c r="BQ1065" s="4"/>
      <c r="BR1065" s="4"/>
      <c r="BS1065" s="4"/>
      <c r="BT1065" s="22"/>
      <c r="BU1065" s="24"/>
    </row>
    <row r="1066" spans="1:73" ht="73.5" customHeight="1" outlineLevel="2">
      <c r="A1066" s="44" t="s">
        <v>372</v>
      </c>
      <c r="B1066" s="45" t="s">
        <v>1116</v>
      </c>
      <c r="C1066" s="2">
        <f t="shared" si="182"/>
        <v>330.72162000000003</v>
      </c>
      <c r="D1066" s="1">
        <f t="shared" si="180"/>
        <v>188.71348</v>
      </c>
      <c r="E1066" s="1">
        <f t="shared" si="181"/>
        <v>142.00814000000003</v>
      </c>
      <c r="F1066" s="22"/>
      <c r="G1066" s="22"/>
      <c r="H1066" s="22"/>
      <c r="I1066" s="22"/>
      <c r="J1066" s="22"/>
      <c r="K1066" s="22"/>
      <c r="L1066" s="22"/>
      <c r="M1066" s="22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22"/>
      <c r="AA1066" s="22"/>
      <c r="AB1066" s="23">
        <v>43.84005</v>
      </c>
      <c r="AC1066" s="4">
        <v>23.30913</v>
      </c>
      <c r="AD1066" s="22"/>
      <c r="AE1066" s="22"/>
      <c r="AF1066" s="22"/>
      <c r="AG1066" s="22"/>
      <c r="AH1066" s="20">
        <v>28.106</v>
      </c>
      <c r="AI1066" s="4">
        <v>28.106</v>
      </c>
      <c r="AJ1066" s="20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4"/>
      <c r="BA1066" s="4"/>
      <c r="BB1066" s="4"/>
      <c r="BC1066" s="22"/>
      <c r="BD1066" s="22"/>
      <c r="BE1066" s="22"/>
      <c r="BF1066" s="22">
        <v>144.87343</v>
      </c>
      <c r="BG1066" s="22">
        <v>90.59301</v>
      </c>
      <c r="BH1066" s="22"/>
      <c r="BI1066" s="22"/>
      <c r="BJ1066" s="22"/>
      <c r="BK1066" s="22"/>
      <c r="BL1066" s="22"/>
      <c r="BM1066" s="22"/>
      <c r="BN1066" s="22"/>
      <c r="BO1066" s="4"/>
      <c r="BP1066" s="4"/>
      <c r="BQ1066" s="4"/>
      <c r="BR1066" s="4"/>
      <c r="BS1066" s="4"/>
      <c r="BT1066" s="22"/>
      <c r="BU1066" s="24"/>
    </row>
    <row r="1067" spans="1:73" ht="73.5" customHeight="1" outlineLevel="2">
      <c r="A1067" s="44" t="s">
        <v>372</v>
      </c>
      <c r="B1067" s="45" t="s">
        <v>1117</v>
      </c>
      <c r="C1067" s="2">
        <f t="shared" si="182"/>
        <v>358.00415999999996</v>
      </c>
      <c r="D1067" s="1">
        <f t="shared" si="180"/>
        <v>226.44618</v>
      </c>
      <c r="E1067" s="1">
        <f t="shared" si="181"/>
        <v>131.55798</v>
      </c>
      <c r="F1067" s="22"/>
      <c r="G1067" s="22"/>
      <c r="H1067" s="22"/>
      <c r="I1067" s="22"/>
      <c r="J1067" s="22"/>
      <c r="K1067" s="22"/>
      <c r="L1067" s="22"/>
      <c r="M1067" s="22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22"/>
      <c r="AA1067" s="22"/>
      <c r="AB1067" s="23">
        <v>68.19564</v>
      </c>
      <c r="AC1067" s="4">
        <v>32.63278</v>
      </c>
      <c r="AD1067" s="22"/>
      <c r="AE1067" s="22"/>
      <c r="AF1067" s="22"/>
      <c r="AG1067" s="22"/>
      <c r="AH1067" s="20"/>
      <c r="AI1067" s="4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4"/>
      <c r="BA1067" s="4"/>
      <c r="BB1067" s="4"/>
      <c r="BC1067" s="22"/>
      <c r="BD1067" s="22"/>
      <c r="BE1067" s="22"/>
      <c r="BF1067" s="22">
        <v>158.25054</v>
      </c>
      <c r="BG1067" s="22">
        <v>98.9252</v>
      </c>
      <c r="BH1067" s="22"/>
      <c r="BI1067" s="22"/>
      <c r="BJ1067" s="22"/>
      <c r="BK1067" s="22"/>
      <c r="BL1067" s="22"/>
      <c r="BM1067" s="22"/>
      <c r="BN1067" s="22"/>
      <c r="BO1067" s="4"/>
      <c r="BP1067" s="4"/>
      <c r="BQ1067" s="4"/>
      <c r="BR1067" s="4"/>
      <c r="BS1067" s="4"/>
      <c r="BT1067" s="22"/>
      <c r="BU1067" s="24"/>
    </row>
    <row r="1068" spans="1:73" ht="73.5" customHeight="1" outlineLevel="2">
      <c r="A1068" s="44" t="s">
        <v>372</v>
      </c>
      <c r="B1068" s="45" t="s">
        <v>1118</v>
      </c>
      <c r="C1068" s="2">
        <f t="shared" si="182"/>
        <v>52.56156</v>
      </c>
      <c r="D1068" s="1">
        <f t="shared" si="180"/>
        <v>32.34724</v>
      </c>
      <c r="E1068" s="1">
        <f t="shared" si="181"/>
        <v>20.21432</v>
      </c>
      <c r="F1068" s="22"/>
      <c r="G1068" s="22"/>
      <c r="H1068" s="22"/>
      <c r="I1068" s="22"/>
      <c r="J1068" s="22"/>
      <c r="K1068" s="22"/>
      <c r="L1068" s="22"/>
      <c r="M1068" s="22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22"/>
      <c r="AA1068" s="22"/>
      <c r="AB1068" s="23"/>
      <c r="AC1068" s="4"/>
      <c r="AD1068" s="22"/>
      <c r="AE1068" s="22"/>
      <c r="AF1068" s="22"/>
      <c r="AG1068" s="22"/>
      <c r="AH1068" s="20"/>
      <c r="AI1068" s="4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4"/>
      <c r="BA1068" s="4"/>
      <c r="BB1068" s="4"/>
      <c r="BC1068" s="22"/>
      <c r="BD1068" s="22"/>
      <c r="BE1068" s="22"/>
      <c r="BF1068" s="22">
        <v>32.34724</v>
      </c>
      <c r="BG1068" s="22">
        <v>20.21432</v>
      </c>
      <c r="BH1068" s="22"/>
      <c r="BI1068" s="22"/>
      <c r="BJ1068" s="22"/>
      <c r="BK1068" s="22"/>
      <c r="BL1068" s="22"/>
      <c r="BM1068" s="22"/>
      <c r="BN1068" s="22"/>
      <c r="BO1068" s="4"/>
      <c r="BP1068" s="4"/>
      <c r="BQ1068" s="4"/>
      <c r="BR1068" s="4"/>
      <c r="BS1068" s="4"/>
      <c r="BT1068" s="22"/>
      <c r="BU1068" s="24"/>
    </row>
    <row r="1069" spans="1:73" ht="73.5" customHeight="1" outlineLevel="2">
      <c r="A1069" s="44" t="s">
        <v>372</v>
      </c>
      <c r="B1069" s="45" t="s">
        <v>552</v>
      </c>
      <c r="C1069" s="2">
        <f t="shared" si="182"/>
        <v>1593.19229</v>
      </c>
      <c r="D1069" s="1">
        <f t="shared" si="180"/>
        <v>843.7522700000001</v>
      </c>
      <c r="E1069" s="1">
        <f t="shared" si="181"/>
        <v>749.44002</v>
      </c>
      <c r="F1069" s="22"/>
      <c r="G1069" s="22"/>
      <c r="H1069" s="22"/>
      <c r="I1069" s="22"/>
      <c r="J1069" s="22">
        <v>491.75168</v>
      </c>
      <c r="K1069" s="22">
        <v>195.92751</v>
      </c>
      <c r="L1069" s="22">
        <v>150.19527</v>
      </c>
      <c r="M1069" s="22"/>
      <c r="N1069" s="4">
        <v>7.86067</v>
      </c>
      <c r="O1069" s="4">
        <v>0.40666</v>
      </c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22"/>
      <c r="AA1069" s="22"/>
      <c r="AB1069" s="23">
        <v>104.32179</v>
      </c>
      <c r="AC1069" s="4">
        <v>55.94192</v>
      </c>
      <c r="AD1069" s="22"/>
      <c r="AE1069" s="22"/>
      <c r="AF1069" s="22"/>
      <c r="AG1069" s="22"/>
      <c r="AH1069" s="20">
        <f>26.49735+44.9696</f>
        <v>71.46695</v>
      </c>
      <c r="AI1069" s="4">
        <v>44.9696</v>
      </c>
      <c r="AJ1069" s="22">
        <v>26.49735</v>
      </c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4"/>
      <c r="BA1069" s="4"/>
      <c r="BB1069" s="4"/>
      <c r="BC1069" s="22"/>
      <c r="BD1069" s="22"/>
      <c r="BE1069" s="22"/>
      <c r="BF1069" s="22">
        <v>239.81813</v>
      </c>
      <c r="BG1069" s="22">
        <v>149.74251</v>
      </c>
      <c r="BH1069" s="22"/>
      <c r="BI1069" s="22"/>
      <c r="BJ1069" s="22">
        <v>125.7592</v>
      </c>
      <c r="BK1069" s="22"/>
      <c r="BL1069" s="22"/>
      <c r="BM1069" s="22"/>
      <c r="BN1069" s="22"/>
      <c r="BO1069" s="4"/>
      <c r="BP1069" s="4"/>
      <c r="BQ1069" s="4"/>
      <c r="BR1069" s="4"/>
      <c r="BS1069" s="4"/>
      <c r="BT1069" s="22"/>
      <c r="BU1069" s="24"/>
    </row>
    <row r="1070" spans="1:73" ht="73.5" customHeight="1" outlineLevel="2">
      <c r="A1070" s="44" t="s">
        <v>372</v>
      </c>
      <c r="B1070" s="45" t="s">
        <v>359</v>
      </c>
      <c r="C1070" s="2">
        <f t="shared" si="182"/>
        <v>477.59526999999997</v>
      </c>
      <c r="D1070" s="1">
        <f t="shared" si="180"/>
        <v>337.14592</v>
      </c>
      <c r="E1070" s="1">
        <f t="shared" si="181"/>
        <v>140.44934999999998</v>
      </c>
      <c r="F1070" s="22"/>
      <c r="G1070" s="22"/>
      <c r="H1070" s="22"/>
      <c r="I1070" s="22"/>
      <c r="J1070" s="22"/>
      <c r="K1070" s="22"/>
      <c r="L1070" s="22"/>
      <c r="M1070" s="22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22"/>
      <c r="AA1070" s="22"/>
      <c r="AB1070" s="4">
        <v>29.83559</v>
      </c>
      <c r="AC1070" s="4">
        <v>16.31639</v>
      </c>
      <c r="AD1070" s="22"/>
      <c r="AE1070" s="22"/>
      <c r="AF1070" s="22"/>
      <c r="AG1070" s="22"/>
      <c r="AH1070" s="20"/>
      <c r="AI1070" s="4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4"/>
      <c r="BA1070" s="4"/>
      <c r="BB1070" s="4"/>
      <c r="BC1070" s="22"/>
      <c r="BD1070" s="22"/>
      <c r="BE1070" s="22"/>
      <c r="BF1070" s="22">
        <v>199.31033</v>
      </c>
      <c r="BG1070" s="22">
        <v>8.45183</v>
      </c>
      <c r="BH1070" s="22">
        <v>108</v>
      </c>
      <c r="BI1070" s="22">
        <v>115.68113</v>
      </c>
      <c r="BJ1070" s="22"/>
      <c r="BK1070" s="22"/>
      <c r="BL1070" s="22"/>
      <c r="BM1070" s="22"/>
      <c r="BN1070" s="22"/>
      <c r="BO1070" s="4"/>
      <c r="BP1070" s="4"/>
      <c r="BQ1070" s="4"/>
      <c r="BR1070" s="4"/>
      <c r="BS1070" s="4"/>
      <c r="BT1070" s="22"/>
      <c r="BU1070" s="24"/>
    </row>
    <row r="1071" spans="1:73" ht="73.5" customHeight="1" outlineLevel="2">
      <c r="A1071" s="44" t="s">
        <v>372</v>
      </c>
      <c r="B1071" s="45" t="s">
        <v>358</v>
      </c>
      <c r="C1071" s="2">
        <f t="shared" si="182"/>
        <v>681.6455799999999</v>
      </c>
      <c r="D1071" s="1">
        <f t="shared" si="180"/>
        <v>405.09768999999994</v>
      </c>
      <c r="E1071" s="1">
        <f t="shared" si="181"/>
        <v>276.54789</v>
      </c>
      <c r="F1071" s="22"/>
      <c r="G1071" s="22"/>
      <c r="H1071" s="22"/>
      <c r="I1071" s="22"/>
      <c r="J1071" s="22"/>
      <c r="K1071" s="22"/>
      <c r="L1071" s="22"/>
      <c r="M1071" s="22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22"/>
      <c r="AA1071" s="22"/>
      <c r="AB1071" s="23">
        <v>83.2961</v>
      </c>
      <c r="AC1071" s="4">
        <v>41.95644</v>
      </c>
      <c r="AD1071" s="22"/>
      <c r="AE1071" s="22"/>
      <c r="AF1071" s="22"/>
      <c r="AG1071" s="22"/>
      <c r="AH1071" s="20">
        <v>33.7272</v>
      </c>
      <c r="AI1071" s="4">
        <v>33.7272</v>
      </c>
      <c r="AJ1071" s="4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4"/>
      <c r="BA1071" s="4"/>
      <c r="BB1071" s="4"/>
      <c r="BC1071" s="22"/>
      <c r="BD1071" s="22"/>
      <c r="BE1071" s="22"/>
      <c r="BF1071" s="22">
        <v>321.80159</v>
      </c>
      <c r="BG1071" s="22">
        <v>200.86425</v>
      </c>
      <c r="BH1071" s="22"/>
      <c r="BI1071" s="22"/>
      <c r="BJ1071" s="22"/>
      <c r="BK1071" s="22"/>
      <c r="BL1071" s="22"/>
      <c r="BM1071" s="22"/>
      <c r="BN1071" s="22"/>
      <c r="BO1071" s="4"/>
      <c r="BP1071" s="4"/>
      <c r="BQ1071" s="4"/>
      <c r="BR1071" s="4"/>
      <c r="BS1071" s="4"/>
      <c r="BT1071" s="22"/>
      <c r="BU1071" s="24"/>
    </row>
    <row r="1072" spans="1:73" ht="73.5" customHeight="1" outlineLevel="2">
      <c r="A1072" s="44" t="s">
        <v>372</v>
      </c>
      <c r="B1072" s="45" t="s">
        <v>357</v>
      </c>
      <c r="C1072" s="2">
        <f t="shared" si="182"/>
        <v>113.10830000000001</v>
      </c>
      <c r="D1072" s="1">
        <f t="shared" si="180"/>
        <v>70.72046</v>
      </c>
      <c r="E1072" s="1">
        <f t="shared" si="181"/>
        <v>42.387840000000004</v>
      </c>
      <c r="F1072" s="22"/>
      <c r="G1072" s="22"/>
      <c r="H1072" s="22"/>
      <c r="I1072" s="22"/>
      <c r="J1072" s="22"/>
      <c r="K1072" s="22"/>
      <c r="L1072" s="22"/>
      <c r="M1072" s="22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22"/>
      <c r="AA1072" s="22"/>
      <c r="AB1072" s="23">
        <v>17.53602</v>
      </c>
      <c r="AC1072" s="4">
        <v>9.32365</v>
      </c>
      <c r="AD1072" s="22"/>
      <c r="AE1072" s="22"/>
      <c r="AF1072" s="22"/>
      <c r="AG1072" s="22"/>
      <c r="AH1072" s="20"/>
      <c r="AI1072" s="4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4"/>
      <c r="BA1072" s="4"/>
      <c r="BB1072" s="4"/>
      <c r="BC1072" s="22"/>
      <c r="BD1072" s="22"/>
      <c r="BE1072" s="22"/>
      <c r="BF1072" s="22">
        <v>53.18444</v>
      </c>
      <c r="BG1072" s="22">
        <v>33.06419</v>
      </c>
      <c r="BH1072" s="22"/>
      <c r="BI1072" s="22"/>
      <c r="BJ1072" s="22"/>
      <c r="BK1072" s="22"/>
      <c r="BL1072" s="22"/>
      <c r="BM1072" s="22"/>
      <c r="BN1072" s="22"/>
      <c r="BO1072" s="4"/>
      <c r="BP1072" s="4"/>
      <c r="BQ1072" s="4"/>
      <c r="BR1072" s="4"/>
      <c r="BS1072" s="4"/>
      <c r="BT1072" s="22"/>
      <c r="BU1072" s="24"/>
    </row>
    <row r="1073" spans="1:73" ht="73.5" customHeight="1" outlineLevel="2">
      <c r="A1073" s="46" t="s">
        <v>372</v>
      </c>
      <c r="B1073" s="45" t="s">
        <v>256</v>
      </c>
      <c r="C1073" s="2">
        <f t="shared" si="182"/>
        <v>465.08778</v>
      </c>
      <c r="D1073" s="1">
        <f t="shared" si="180"/>
        <v>0</v>
      </c>
      <c r="E1073" s="1">
        <f t="shared" si="181"/>
        <v>465.08778</v>
      </c>
      <c r="F1073" s="22"/>
      <c r="G1073" s="22"/>
      <c r="H1073" s="22"/>
      <c r="I1073" s="22"/>
      <c r="J1073" s="22"/>
      <c r="K1073" s="22"/>
      <c r="L1073" s="22">
        <v>465.08778</v>
      </c>
      <c r="M1073" s="22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22"/>
      <c r="AA1073" s="22"/>
      <c r="AB1073" s="4"/>
      <c r="AC1073" s="4"/>
      <c r="AD1073" s="22"/>
      <c r="AE1073" s="22"/>
      <c r="AF1073" s="22"/>
      <c r="AG1073" s="22"/>
      <c r="AH1073" s="20"/>
      <c r="AI1073" s="4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4"/>
      <c r="BA1073" s="4"/>
      <c r="BB1073" s="4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4"/>
      <c r="BP1073" s="4"/>
      <c r="BQ1073" s="4"/>
      <c r="BR1073" s="4"/>
      <c r="BS1073" s="4"/>
      <c r="BT1073" s="22"/>
      <c r="BU1073" s="24"/>
    </row>
    <row r="1074" spans="1:73" ht="73.5" customHeight="1" outlineLevel="2">
      <c r="A1074" s="44" t="s">
        <v>372</v>
      </c>
      <c r="B1074" s="26" t="s">
        <v>504</v>
      </c>
      <c r="C1074" s="2">
        <f t="shared" si="182"/>
        <v>803.61377</v>
      </c>
      <c r="D1074" s="1">
        <f t="shared" si="180"/>
        <v>0</v>
      </c>
      <c r="E1074" s="1">
        <f t="shared" si="181"/>
        <v>803.61377</v>
      </c>
      <c r="F1074" s="22"/>
      <c r="G1074" s="22"/>
      <c r="H1074" s="22"/>
      <c r="I1074" s="22"/>
      <c r="J1074" s="22"/>
      <c r="K1074" s="22"/>
      <c r="L1074" s="22"/>
      <c r="M1074" s="22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22"/>
      <c r="AA1074" s="22"/>
      <c r="AB1074" s="4"/>
      <c r="AC1074" s="4"/>
      <c r="AD1074" s="22"/>
      <c r="AE1074" s="22"/>
      <c r="AF1074" s="22"/>
      <c r="AG1074" s="22"/>
      <c r="AH1074" s="20"/>
      <c r="AI1074" s="4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4"/>
      <c r="BA1074" s="4"/>
      <c r="BB1074" s="4"/>
      <c r="BC1074" s="22"/>
      <c r="BD1074" s="22"/>
      <c r="BE1074" s="22">
        <v>705</v>
      </c>
      <c r="BF1074" s="22"/>
      <c r="BG1074" s="22"/>
      <c r="BH1074" s="22"/>
      <c r="BI1074" s="22"/>
      <c r="BJ1074" s="22"/>
      <c r="BK1074" s="22"/>
      <c r="BL1074" s="22"/>
      <c r="BM1074" s="22">
        <v>98.61377</v>
      </c>
      <c r="BN1074" s="22"/>
      <c r="BO1074" s="4"/>
      <c r="BP1074" s="4"/>
      <c r="BQ1074" s="4"/>
      <c r="BR1074" s="4"/>
      <c r="BS1074" s="4"/>
      <c r="BT1074" s="22"/>
      <c r="BU1074" s="24"/>
    </row>
    <row r="1075" spans="1:73" ht="73.5" customHeight="1" outlineLevel="2">
      <c r="A1075" s="44" t="s">
        <v>372</v>
      </c>
      <c r="B1075" s="45" t="s">
        <v>521</v>
      </c>
      <c r="C1075" s="2">
        <f t="shared" si="182"/>
        <v>73401.29385</v>
      </c>
      <c r="D1075" s="1">
        <f t="shared" si="180"/>
        <v>19031.56252</v>
      </c>
      <c r="E1075" s="1">
        <f t="shared" si="181"/>
        <v>54369.73133</v>
      </c>
      <c r="F1075" s="22"/>
      <c r="G1075" s="22"/>
      <c r="H1075" s="22"/>
      <c r="I1075" s="22"/>
      <c r="J1075" s="22"/>
      <c r="K1075" s="22"/>
      <c r="L1075" s="22">
        <f>3046.43265+75.40265</f>
        <v>3121.8353</v>
      </c>
      <c r="M1075" s="22">
        <v>757.3134</v>
      </c>
      <c r="N1075" s="4"/>
      <c r="O1075" s="4"/>
      <c r="P1075" s="4"/>
      <c r="Q1075" s="4"/>
      <c r="R1075" s="4"/>
      <c r="S1075" s="4"/>
      <c r="T1075" s="4"/>
      <c r="U1075" s="4"/>
      <c r="V1075" s="4">
        <v>5160.43247</v>
      </c>
      <c r="W1075" s="4">
        <v>12797.44304</v>
      </c>
      <c r="X1075" s="4">
        <v>13871.13005</v>
      </c>
      <c r="Y1075" s="4">
        <v>12379.3849</v>
      </c>
      <c r="Z1075" s="22"/>
      <c r="AA1075" s="22"/>
      <c r="AB1075" s="4"/>
      <c r="AC1075" s="4"/>
      <c r="AD1075" s="22"/>
      <c r="AE1075" s="22"/>
      <c r="AF1075" s="22"/>
      <c r="AG1075" s="22"/>
      <c r="AH1075" s="20"/>
      <c r="AI1075" s="4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4"/>
      <c r="BA1075" s="4"/>
      <c r="BB1075" s="4"/>
      <c r="BC1075" s="22"/>
      <c r="BD1075" s="22">
        <f>19888.14038+1254.35002</f>
        <v>21142.490400000002</v>
      </c>
      <c r="BE1075" s="22">
        <v>4171.26429</v>
      </c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4"/>
      <c r="BP1075" s="4"/>
      <c r="BQ1075" s="4"/>
      <c r="BR1075" s="4"/>
      <c r="BS1075" s="4"/>
      <c r="BT1075" s="22"/>
      <c r="BU1075" s="24"/>
    </row>
    <row r="1076" spans="1:73" ht="73.5" customHeight="1" outlineLevel="2" thickBot="1">
      <c r="A1076" s="72" t="s">
        <v>372</v>
      </c>
      <c r="B1076" s="91" t="s">
        <v>817</v>
      </c>
      <c r="C1076" s="92">
        <f t="shared" si="182"/>
        <v>37.903589999999994</v>
      </c>
      <c r="D1076" s="93">
        <f t="shared" si="180"/>
        <v>0</v>
      </c>
      <c r="E1076" s="93">
        <f t="shared" si="181"/>
        <v>37.903589999999994</v>
      </c>
      <c r="F1076" s="60"/>
      <c r="G1076" s="60"/>
      <c r="H1076" s="60"/>
      <c r="I1076" s="60"/>
      <c r="J1076" s="60"/>
      <c r="K1076" s="60"/>
      <c r="L1076" s="60"/>
      <c r="M1076" s="60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0"/>
      <c r="AA1076" s="60"/>
      <c r="AB1076" s="61"/>
      <c r="AC1076" s="61"/>
      <c r="AD1076" s="60"/>
      <c r="AE1076" s="60"/>
      <c r="AF1076" s="60"/>
      <c r="AG1076" s="60"/>
      <c r="AH1076" s="62">
        <f>16.22394+21.67965</f>
        <v>37.903589999999994</v>
      </c>
      <c r="AI1076" s="61"/>
      <c r="AJ1076" s="61">
        <f>16.22394+21.67965</f>
        <v>37.903589999999994</v>
      </c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1"/>
      <c r="BA1076" s="61"/>
      <c r="BB1076" s="61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1"/>
      <c r="BP1076" s="61"/>
      <c r="BQ1076" s="61"/>
      <c r="BR1076" s="61"/>
      <c r="BS1076" s="61"/>
      <c r="BT1076" s="60"/>
      <c r="BU1076" s="24"/>
    </row>
    <row r="1077" spans="1:74" s="35" customFormat="1" ht="73.5" customHeight="1" outlineLevel="1" thickBot="1">
      <c r="A1077" s="53" t="s">
        <v>147</v>
      </c>
      <c r="B1077" s="48"/>
      <c r="C1077" s="49">
        <f aca="true" t="shared" si="183" ref="C1077:BN1077">SUBTOTAL(9,C1046:C1076)</f>
        <v>216587.39377000008</v>
      </c>
      <c r="D1077" s="49">
        <f t="shared" si="183"/>
        <v>51264.43600999999</v>
      </c>
      <c r="E1077" s="49">
        <f t="shared" si="183"/>
        <v>165322.95776000002</v>
      </c>
      <c r="F1077" s="49">
        <f t="shared" si="183"/>
        <v>0</v>
      </c>
      <c r="G1077" s="49">
        <f t="shared" si="183"/>
        <v>0</v>
      </c>
      <c r="H1077" s="49">
        <f t="shared" si="183"/>
        <v>0</v>
      </c>
      <c r="I1077" s="49">
        <f t="shared" si="183"/>
        <v>0</v>
      </c>
      <c r="J1077" s="49">
        <f t="shared" si="183"/>
        <v>2572.95451</v>
      </c>
      <c r="K1077" s="49">
        <f t="shared" si="183"/>
        <v>963.0331799999999</v>
      </c>
      <c r="L1077" s="49">
        <f t="shared" si="183"/>
        <v>6243.049000000001</v>
      </c>
      <c r="M1077" s="49">
        <f t="shared" si="183"/>
        <v>757.3134</v>
      </c>
      <c r="N1077" s="49">
        <f t="shared" si="183"/>
        <v>50.61073</v>
      </c>
      <c r="O1077" s="49">
        <f t="shared" si="183"/>
        <v>2.3728800000000003</v>
      </c>
      <c r="P1077" s="49">
        <f t="shared" si="183"/>
        <v>2059.38275</v>
      </c>
      <c r="Q1077" s="49">
        <f t="shared" si="183"/>
        <v>0</v>
      </c>
      <c r="R1077" s="49">
        <f t="shared" si="183"/>
        <v>1011.52394</v>
      </c>
      <c r="S1077" s="49">
        <f t="shared" si="183"/>
        <v>874.75811</v>
      </c>
      <c r="T1077" s="49">
        <f t="shared" si="183"/>
        <v>0</v>
      </c>
      <c r="U1077" s="49">
        <f t="shared" si="183"/>
        <v>0</v>
      </c>
      <c r="V1077" s="49">
        <f t="shared" si="183"/>
        <v>5160.43247</v>
      </c>
      <c r="W1077" s="49">
        <f t="shared" si="183"/>
        <v>12797.44304</v>
      </c>
      <c r="X1077" s="49">
        <f t="shared" si="183"/>
        <v>14535.88626</v>
      </c>
      <c r="Y1077" s="49">
        <f t="shared" si="183"/>
        <v>13088.23706</v>
      </c>
      <c r="Z1077" s="49">
        <f t="shared" si="183"/>
        <v>2529.96202</v>
      </c>
      <c r="AA1077" s="49">
        <f t="shared" si="183"/>
        <v>2646.5286699999992</v>
      </c>
      <c r="AB1077" s="49">
        <f t="shared" si="183"/>
        <v>2250.05254</v>
      </c>
      <c r="AC1077" s="49">
        <f t="shared" si="183"/>
        <v>1079.67899</v>
      </c>
      <c r="AD1077" s="49">
        <f t="shared" si="183"/>
        <v>0</v>
      </c>
      <c r="AE1077" s="49">
        <f t="shared" si="183"/>
        <v>0</v>
      </c>
      <c r="AF1077" s="49">
        <f t="shared" si="183"/>
        <v>0</v>
      </c>
      <c r="AG1077" s="49">
        <f t="shared" si="183"/>
        <v>0</v>
      </c>
      <c r="AH1077" s="49">
        <f t="shared" si="183"/>
        <v>4096.853190000001</v>
      </c>
      <c r="AI1077" s="49">
        <f t="shared" si="183"/>
        <v>1912.3668499999999</v>
      </c>
      <c r="AJ1077" s="49">
        <f t="shared" si="183"/>
        <v>2184.4863400000004</v>
      </c>
      <c r="AK1077" s="49">
        <f t="shared" si="183"/>
        <v>0</v>
      </c>
      <c r="AL1077" s="49">
        <f t="shared" si="183"/>
        <v>0</v>
      </c>
      <c r="AM1077" s="49">
        <f t="shared" si="183"/>
        <v>0</v>
      </c>
      <c r="AN1077" s="49">
        <f t="shared" si="183"/>
        <v>0</v>
      </c>
      <c r="AO1077" s="49">
        <f t="shared" si="183"/>
        <v>0</v>
      </c>
      <c r="AP1077" s="49">
        <f t="shared" si="183"/>
        <v>0</v>
      </c>
      <c r="AQ1077" s="49">
        <f t="shared" si="183"/>
        <v>0</v>
      </c>
      <c r="AR1077" s="49">
        <f t="shared" si="183"/>
        <v>0</v>
      </c>
      <c r="AS1077" s="49">
        <f t="shared" si="183"/>
        <v>0</v>
      </c>
      <c r="AT1077" s="49">
        <f t="shared" si="183"/>
        <v>0</v>
      </c>
      <c r="AU1077" s="49">
        <f t="shared" si="183"/>
        <v>0</v>
      </c>
      <c r="AV1077" s="49">
        <f t="shared" si="183"/>
        <v>0</v>
      </c>
      <c r="AW1077" s="49">
        <f t="shared" si="183"/>
        <v>0</v>
      </c>
      <c r="AX1077" s="49">
        <f t="shared" si="183"/>
        <v>440.96</v>
      </c>
      <c r="AY1077" s="49">
        <f t="shared" si="183"/>
        <v>10014.08124</v>
      </c>
      <c r="AZ1077" s="49">
        <f t="shared" si="183"/>
        <v>6081.66911</v>
      </c>
      <c r="BA1077" s="49">
        <f t="shared" si="183"/>
        <v>0</v>
      </c>
      <c r="BB1077" s="49">
        <f t="shared" si="183"/>
        <v>0</v>
      </c>
      <c r="BC1077" s="49">
        <f t="shared" si="183"/>
        <v>32988.12</v>
      </c>
      <c r="BD1077" s="49">
        <f t="shared" si="183"/>
        <v>31860.144660000005</v>
      </c>
      <c r="BE1077" s="49">
        <f t="shared" si="183"/>
        <v>34422.37362</v>
      </c>
      <c r="BF1077" s="49">
        <f t="shared" si="183"/>
        <v>11463.4323</v>
      </c>
      <c r="BG1077" s="49">
        <f t="shared" si="183"/>
        <v>7021.11331</v>
      </c>
      <c r="BH1077" s="49">
        <f t="shared" si="183"/>
        <v>175.5</v>
      </c>
      <c r="BI1077" s="49">
        <f t="shared" si="183"/>
        <v>133.93692</v>
      </c>
      <c r="BJ1077" s="49">
        <f t="shared" si="183"/>
        <v>831.2311</v>
      </c>
      <c r="BK1077" s="49">
        <f t="shared" si="183"/>
        <v>0</v>
      </c>
      <c r="BL1077" s="49">
        <f t="shared" si="183"/>
        <v>0</v>
      </c>
      <c r="BM1077" s="49">
        <f t="shared" si="183"/>
        <v>98.61377</v>
      </c>
      <c r="BN1077" s="49">
        <f t="shared" si="183"/>
        <v>0</v>
      </c>
      <c r="BO1077" s="49">
        <f aca="true" t="shared" si="184" ref="BO1077:BT1077">SUBTOTAL(9,BO1046:BO1076)</f>
        <v>1500</v>
      </c>
      <c r="BP1077" s="49">
        <f t="shared" si="184"/>
        <v>6836.145</v>
      </c>
      <c r="BQ1077" s="49">
        <f t="shared" si="184"/>
        <v>0</v>
      </c>
      <c r="BR1077" s="49">
        <f t="shared" si="184"/>
        <v>0</v>
      </c>
      <c r="BS1077" s="49">
        <f t="shared" si="184"/>
        <v>0</v>
      </c>
      <c r="BT1077" s="94">
        <f t="shared" si="184"/>
        <v>0</v>
      </c>
      <c r="BU1077" s="50"/>
      <c r="BV1077" s="34"/>
    </row>
    <row r="1078" spans="1:73" ht="73.5" customHeight="1" outlineLevel="2" thickBot="1">
      <c r="A1078" s="95" t="s">
        <v>325</v>
      </c>
      <c r="B1078" s="96" t="s">
        <v>151</v>
      </c>
      <c r="C1078" s="58">
        <f>D1078+E1078</f>
        <v>2000</v>
      </c>
      <c r="D1078" s="97">
        <f>F1078+J1078+N1078+R1078+T1078+Z1078+AB1078+AD1078+AF1078+AM1078+AO1078+AT1078+AY1078+BF1078+BO1078+BS1078+H1078+V1078+X1078+BQ1078+AR1078+BH1078</f>
        <v>0</v>
      </c>
      <c r="E1078" s="97">
        <f>G1078+I1078+K1078+L1078+M1078+O1078+P1078+Q1078+S1078+U1078+W1078+Y1078+AA1078+AC1078+AE1078+AG1078+AH1078+AK1078+AL1078+AN1078+AP1078+AQ1078+AS1078+AU1078+AV1078+AW1078+AX1078+AZ1078+BA1078+BB1078+BC1078+BD1078+BE1078+BG1078+BI1078+BJ1078+BK1078+BL1078+BM1078+BN1078+BU1078+BP1078+BR1078+BT1078</f>
        <v>2000</v>
      </c>
      <c r="F1078" s="98"/>
      <c r="G1078" s="98"/>
      <c r="H1078" s="98"/>
      <c r="I1078" s="98"/>
      <c r="J1078" s="98"/>
      <c r="K1078" s="98"/>
      <c r="L1078" s="98"/>
      <c r="M1078" s="98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8"/>
      <c r="AA1078" s="98"/>
      <c r="AB1078" s="99"/>
      <c r="AC1078" s="99"/>
      <c r="AD1078" s="98"/>
      <c r="AE1078" s="98"/>
      <c r="AF1078" s="98"/>
      <c r="AG1078" s="98"/>
      <c r="AH1078" s="100"/>
      <c r="AI1078" s="99"/>
      <c r="AJ1078" s="98"/>
      <c r="AK1078" s="98"/>
      <c r="AL1078" s="98"/>
      <c r="AM1078" s="98"/>
      <c r="AN1078" s="98"/>
      <c r="AO1078" s="98"/>
      <c r="AP1078" s="98"/>
      <c r="AQ1078" s="98"/>
      <c r="AR1078" s="98"/>
      <c r="AS1078" s="98"/>
      <c r="AT1078" s="98"/>
      <c r="AU1078" s="98"/>
      <c r="AV1078" s="98"/>
      <c r="AW1078" s="98"/>
      <c r="AX1078" s="98"/>
      <c r="AY1078" s="98"/>
      <c r="AZ1078" s="99"/>
      <c r="BA1078" s="99"/>
      <c r="BB1078" s="99"/>
      <c r="BC1078" s="98"/>
      <c r="BD1078" s="98"/>
      <c r="BE1078" s="98"/>
      <c r="BF1078" s="98"/>
      <c r="BG1078" s="98"/>
      <c r="BH1078" s="98"/>
      <c r="BI1078" s="98"/>
      <c r="BJ1078" s="98"/>
      <c r="BK1078" s="98"/>
      <c r="BL1078" s="98"/>
      <c r="BM1078" s="98"/>
      <c r="BN1078" s="98">
        <v>2000</v>
      </c>
      <c r="BO1078" s="99"/>
      <c r="BP1078" s="99"/>
      <c r="BQ1078" s="99"/>
      <c r="BR1078" s="99"/>
      <c r="BS1078" s="99"/>
      <c r="BT1078" s="98"/>
      <c r="BU1078" s="24"/>
    </row>
    <row r="1079" spans="1:74" s="35" customFormat="1" ht="73.5" customHeight="1" outlineLevel="1" thickBot="1">
      <c r="A1079" s="29" t="s">
        <v>9</v>
      </c>
      <c r="B1079" s="48"/>
      <c r="C1079" s="49">
        <f aca="true" t="shared" si="185" ref="C1079:BN1079">SUBTOTAL(9,C1078:C1078)</f>
        <v>2000</v>
      </c>
      <c r="D1079" s="49">
        <f t="shared" si="185"/>
        <v>0</v>
      </c>
      <c r="E1079" s="49">
        <f t="shared" si="185"/>
        <v>2000</v>
      </c>
      <c r="F1079" s="49">
        <f t="shared" si="185"/>
        <v>0</v>
      </c>
      <c r="G1079" s="49">
        <f t="shared" si="185"/>
        <v>0</v>
      </c>
      <c r="H1079" s="49">
        <f t="shared" si="185"/>
        <v>0</v>
      </c>
      <c r="I1079" s="49">
        <f t="shared" si="185"/>
        <v>0</v>
      </c>
      <c r="J1079" s="49">
        <f t="shared" si="185"/>
        <v>0</v>
      </c>
      <c r="K1079" s="49">
        <f t="shared" si="185"/>
        <v>0</v>
      </c>
      <c r="L1079" s="49">
        <f t="shared" si="185"/>
        <v>0</v>
      </c>
      <c r="M1079" s="49">
        <f t="shared" si="185"/>
        <v>0</v>
      </c>
      <c r="N1079" s="49">
        <f t="shared" si="185"/>
        <v>0</v>
      </c>
      <c r="O1079" s="49">
        <f t="shared" si="185"/>
        <v>0</v>
      </c>
      <c r="P1079" s="49">
        <f t="shared" si="185"/>
        <v>0</v>
      </c>
      <c r="Q1079" s="49">
        <f t="shared" si="185"/>
        <v>0</v>
      </c>
      <c r="R1079" s="49">
        <f t="shared" si="185"/>
        <v>0</v>
      </c>
      <c r="S1079" s="49">
        <f t="shared" si="185"/>
        <v>0</v>
      </c>
      <c r="T1079" s="49">
        <f t="shared" si="185"/>
        <v>0</v>
      </c>
      <c r="U1079" s="49">
        <f t="shared" si="185"/>
        <v>0</v>
      </c>
      <c r="V1079" s="49">
        <f t="shared" si="185"/>
        <v>0</v>
      </c>
      <c r="W1079" s="49">
        <f t="shared" si="185"/>
        <v>0</v>
      </c>
      <c r="X1079" s="49">
        <f t="shared" si="185"/>
        <v>0</v>
      </c>
      <c r="Y1079" s="49">
        <f t="shared" si="185"/>
        <v>0</v>
      </c>
      <c r="Z1079" s="49">
        <f t="shared" si="185"/>
        <v>0</v>
      </c>
      <c r="AA1079" s="49">
        <f t="shared" si="185"/>
        <v>0</v>
      </c>
      <c r="AB1079" s="49">
        <f t="shared" si="185"/>
        <v>0</v>
      </c>
      <c r="AC1079" s="49">
        <f t="shared" si="185"/>
        <v>0</v>
      </c>
      <c r="AD1079" s="49">
        <f t="shared" si="185"/>
        <v>0</v>
      </c>
      <c r="AE1079" s="49">
        <f t="shared" si="185"/>
        <v>0</v>
      </c>
      <c r="AF1079" s="49">
        <f t="shared" si="185"/>
        <v>0</v>
      </c>
      <c r="AG1079" s="49">
        <f t="shared" si="185"/>
        <v>0</v>
      </c>
      <c r="AH1079" s="49">
        <f t="shared" si="185"/>
        <v>0</v>
      </c>
      <c r="AI1079" s="49">
        <f t="shared" si="185"/>
        <v>0</v>
      </c>
      <c r="AJ1079" s="49">
        <f t="shared" si="185"/>
        <v>0</v>
      </c>
      <c r="AK1079" s="49">
        <f t="shared" si="185"/>
        <v>0</v>
      </c>
      <c r="AL1079" s="49">
        <f t="shared" si="185"/>
        <v>0</v>
      </c>
      <c r="AM1079" s="49">
        <f t="shared" si="185"/>
        <v>0</v>
      </c>
      <c r="AN1079" s="49">
        <f t="shared" si="185"/>
        <v>0</v>
      </c>
      <c r="AO1079" s="49">
        <f t="shared" si="185"/>
        <v>0</v>
      </c>
      <c r="AP1079" s="49">
        <f t="shared" si="185"/>
        <v>0</v>
      </c>
      <c r="AQ1079" s="49">
        <f t="shared" si="185"/>
        <v>0</v>
      </c>
      <c r="AR1079" s="49">
        <f t="shared" si="185"/>
        <v>0</v>
      </c>
      <c r="AS1079" s="49">
        <f t="shared" si="185"/>
        <v>0</v>
      </c>
      <c r="AT1079" s="49">
        <f t="shared" si="185"/>
        <v>0</v>
      </c>
      <c r="AU1079" s="49">
        <f t="shared" si="185"/>
        <v>0</v>
      </c>
      <c r="AV1079" s="49">
        <f t="shared" si="185"/>
        <v>0</v>
      </c>
      <c r="AW1079" s="49">
        <f t="shared" si="185"/>
        <v>0</v>
      </c>
      <c r="AX1079" s="49">
        <f t="shared" si="185"/>
        <v>0</v>
      </c>
      <c r="AY1079" s="49">
        <f t="shared" si="185"/>
        <v>0</v>
      </c>
      <c r="AZ1079" s="49">
        <f t="shared" si="185"/>
        <v>0</v>
      </c>
      <c r="BA1079" s="49">
        <f t="shared" si="185"/>
        <v>0</v>
      </c>
      <c r="BB1079" s="49">
        <f t="shared" si="185"/>
        <v>0</v>
      </c>
      <c r="BC1079" s="49">
        <f t="shared" si="185"/>
        <v>0</v>
      </c>
      <c r="BD1079" s="49">
        <f t="shared" si="185"/>
        <v>0</v>
      </c>
      <c r="BE1079" s="49">
        <f t="shared" si="185"/>
        <v>0</v>
      </c>
      <c r="BF1079" s="49">
        <f t="shared" si="185"/>
        <v>0</v>
      </c>
      <c r="BG1079" s="49">
        <f t="shared" si="185"/>
        <v>0</v>
      </c>
      <c r="BH1079" s="49">
        <f t="shared" si="185"/>
        <v>0</v>
      </c>
      <c r="BI1079" s="49">
        <f t="shared" si="185"/>
        <v>0</v>
      </c>
      <c r="BJ1079" s="49">
        <f t="shared" si="185"/>
        <v>0</v>
      </c>
      <c r="BK1079" s="49">
        <f t="shared" si="185"/>
        <v>0</v>
      </c>
      <c r="BL1079" s="49">
        <f t="shared" si="185"/>
        <v>0</v>
      </c>
      <c r="BM1079" s="49">
        <f t="shared" si="185"/>
        <v>0</v>
      </c>
      <c r="BN1079" s="49">
        <f t="shared" si="185"/>
        <v>2000</v>
      </c>
      <c r="BO1079" s="49">
        <f aca="true" t="shared" si="186" ref="BO1079:BT1079">SUBTOTAL(9,BO1078:BO1078)</f>
        <v>0</v>
      </c>
      <c r="BP1079" s="49">
        <f t="shared" si="186"/>
        <v>0</v>
      </c>
      <c r="BQ1079" s="49">
        <f t="shared" si="186"/>
        <v>0</v>
      </c>
      <c r="BR1079" s="49">
        <f t="shared" si="186"/>
        <v>0</v>
      </c>
      <c r="BS1079" s="49">
        <f t="shared" si="186"/>
        <v>0</v>
      </c>
      <c r="BT1079" s="94">
        <f t="shared" si="186"/>
        <v>0</v>
      </c>
      <c r="BU1079" s="50"/>
      <c r="BV1079" s="34"/>
    </row>
    <row r="1080" spans="1:73" ht="73.5" customHeight="1" outlineLevel="2">
      <c r="A1080" s="36" t="s">
        <v>210</v>
      </c>
      <c r="B1080" s="37" t="s">
        <v>221</v>
      </c>
      <c r="C1080" s="39">
        <f>D1080+E1080</f>
        <v>343.22034</v>
      </c>
      <c r="D1080" s="101">
        <f aca="true" t="shared" si="187" ref="D1080:D1093">F1080+J1080+N1080+R1080+T1080+Z1080+AB1080+AD1080+AF1080+AM1080+AO1080+AT1080+AY1080+BF1080+BO1080+BS1080+H1080+V1080+X1080+BQ1080+AR1080+BH1080</f>
        <v>0</v>
      </c>
      <c r="E1080" s="101">
        <f aca="true" t="shared" si="188" ref="E1080:E1093">G1080+I1080+K1080+L1080+M1080+O1080+P1080+Q1080+S1080+U1080+W1080+Y1080+AA1080+AC1080+AE1080+AG1080+AH1080+AK1080+AL1080+AN1080+AP1080+AQ1080+AS1080+AU1080+AV1080+AW1080+AX1080+AZ1080+BA1080+BB1080+BC1080+BD1080+BE1080+BG1080+BI1080+BJ1080+BK1080+BL1080+BM1080+BN1080+BU1080+BP1080+BR1080+BT1080</f>
        <v>343.22034</v>
      </c>
      <c r="F1080" s="40"/>
      <c r="G1080" s="40"/>
      <c r="H1080" s="40"/>
      <c r="I1080" s="40"/>
      <c r="J1080" s="40"/>
      <c r="K1080" s="40"/>
      <c r="L1080" s="40"/>
      <c r="M1080" s="40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0"/>
      <c r="AA1080" s="40"/>
      <c r="AB1080" s="41"/>
      <c r="AC1080" s="41"/>
      <c r="AD1080" s="40"/>
      <c r="AE1080" s="40"/>
      <c r="AF1080" s="40"/>
      <c r="AG1080" s="40"/>
      <c r="AH1080" s="43"/>
      <c r="AI1080" s="41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1"/>
      <c r="BA1080" s="41"/>
      <c r="BB1080" s="41"/>
      <c r="BC1080" s="40"/>
      <c r="BD1080" s="40"/>
      <c r="BE1080" s="40">
        <v>343.22034</v>
      </c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1"/>
      <c r="BP1080" s="41"/>
      <c r="BQ1080" s="41"/>
      <c r="BR1080" s="41"/>
      <c r="BS1080" s="41"/>
      <c r="BT1080" s="40"/>
      <c r="BU1080" s="24"/>
    </row>
    <row r="1081" spans="1:73" ht="73.5" customHeight="1" outlineLevel="2">
      <c r="A1081" s="56" t="s">
        <v>1173</v>
      </c>
      <c r="B1081" s="45" t="s">
        <v>786</v>
      </c>
      <c r="C1081" s="39">
        <f>D1081+E1081</f>
        <v>5137.19813</v>
      </c>
      <c r="D1081" s="1">
        <f t="shared" si="187"/>
        <v>0</v>
      </c>
      <c r="E1081" s="1">
        <f t="shared" si="188"/>
        <v>5137.19813</v>
      </c>
      <c r="F1081" s="40"/>
      <c r="G1081" s="40"/>
      <c r="H1081" s="40"/>
      <c r="I1081" s="40"/>
      <c r="J1081" s="40"/>
      <c r="K1081" s="40"/>
      <c r="L1081" s="40"/>
      <c r="M1081" s="40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0"/>
      <c r="AA1081" s="40"/>
      <c r="AB1081" s="41"/>
      <c r="AC1081" s="41"/>
      <c r="AD1081" s="40"/>
      <c r="AE1081" s="40"/>
      <c r="AF1081" s="40"/>
      <c r="AG1081" s="40"/>
      <c r="AH1081" s="43"/>
      <c r="AI1081" s="41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1"/>
      <c r="BA1081" s="41"/>
      <c r="BB1081" s="41"/>
      <c r="BC1081" s="40"/>
      <c r="BD1081" s="40"/>
      <c r="BE1081" s="40">
        <v>5137.19813</v>
      </c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1"/>
      <c r="BP1081" s="41"/>
      <c r="BQ1081" s="41"/>
      <c r="BR1081" s="41"/>
      <c r="BS1081" s="4"/>
      <c r="BT1081" s="22"/>
      <c r="BU1081" s="24"/>
    </row>
    <row r="1082" spans="1:73" ht="73.5" customHeight="1" outlineLevel="2">
      <c r="A1082" s="46" t="s">
        <v>210</v>
      </c>
      <c r="B1082" s="45" t="s">
        <v>788</v>
      </c>
      <c r="C1082" s="39">
        <f>D1082+E1082</f>
        <v>1024.70727</v>
      </c>
      <c r="D1082" s="1">
        <f t="shared" si="187"/>
        <v>0</v>
      </c>
      <c r="E1082" s="1">
        <f t="shared" si="188"/>
        <v>1024.70727</v>
      </c>
      <c r="F1082" s="40"/>
      <c r="G1082" s="40"/>
      <c r="H1082" s="40"/>
      <c r="I1082" s="40"/>
      <c r="J1082" s="40"/>
      <c r="K1082" s="40"/>
      <c r="L1082" s="40"/>
      <c r="M1082" s="40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0"/>
      <c r="AA1082" s="40"/>
      <c r="AB1082" s="41"/>
      <c r="AC1082" s="41"/>
      <c r="AD1082" s="40"/>
      <c r="AE1082" s="40"/>
      <c r="AF1082" s="40"/>
      <c r="AG1082" s="40"/>
      <c r="AH1082" s="43"/>
      <c r="AI1082" s="41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1"/>
      <c r="BA1082" s="41"/>
      <c r="BB1082" s="41"/>
      <c r="BC1082" s="40"/>
      <c r="BD1082" s="40"/>
      <c r="BE1082" s="40">
        <v>1024.70727</v>
      </c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1"/>
      <c r="BP1082" s="41"/>
      <c r="BQ1082" s="41"/>
      <c r="BR1082" s="41"/>
      <c r="BS1082" s="4"/>
      <c r="BT1082" s="22"/>
      <c r="BU1082" s="24"/>
    </row>
    <row r="1083" spans="1:73" ht="73.5" customHeight="1" outlineLevel="2">
      <c r="A1083" s="56" t="s">
        <v>1174</v>
      </c>
      <c r="B1083" s="37" t="s">
        <v>370</v>
      </c>
      <c r="C1083" s="39">
        <f aca="true" t="shared" si="189" ref="C1083:C1093">D1083+E1083</f>
        <v>3025.0495</v>
      </c>
      <c r="D1083" s="1">
        <f t="shared" si="187"/>
        <v>1093.07541</v>
      </c>
      <c r="E1083" s="1">
        <f t="shared" si="188"/>
        <v>1931.9740900000002</v>
      </c>
      <c r="F1083" s="22"/>
      <c r="G1083" s="22"/>
      <c r="H1083" s="22"/>
      <c r="I1083" s="22"/>
      <c r="J1083" s="22"/>
      <c r="K1083" s="22"/>
      <c r="L1083" s="22"/>
      <c r="M1083" s="22"/>
      <c r="N1083" s="4"/>
      <c r="O1083" s="4"/>
      <c r="P1083" s="4"/>
      <c r="Q1083" s="4"/>
      <c r="R1083" s="4"/>
      <c r="S1083" s="4"/>
      <c r="T1083" s="4"/>
      <c r="U1083" s="4"/>
      <c r="V1083" s="4">
        <v>1093.07541</v>
      </c>
      <c r="W1083" s="4">
        <v>818.84514</v>
      </c>
      <c r="X1083" s="4"/>
      <c r="Y1083" s="4"/>
      <c r="Z1083" s="22"/>
      <c r="AA1083" s="22"/>
      <c r="AB1083" s="4"/>
      <c r="AC1083" s="4"/>
      <c r="AD1083" s="22"/>
      <c r="AE1083" s="22"/>
      <c r="AF1083" s="22"/>
      <c r="AG1083" s="22"/>
      <c r="AH1083" s="20"/>
      <c r="AI1083" s="4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4"/>
      <c r="BA1083" s="4"/>
      <c r="BB1083" s="4"/>
      <c r="BC1083" s="22"/>
      <c r="BD1083" s="22">
        <f>982.82895+130.3</f>
        <v>1113.12895</v>
      </c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4"/>
      <c r="BP1083" s="4"/>
      <c r="BQ1083" s="4"/>
      <c r="BR1083" s="4"/>
      <c r="BS1083" s="4"/>
      <c r="BT1083" s="22"/>
      <c r="BU1083" s="24"/>
    </row>
    <row r="1084" spans="1:73" ht="73.5" customHeight="1" outlineLevel="2">
      <c r="A1084" s="56" t="s">
        <v>1174</v>
      </c>
      <c r="B1084" s="45" t="s">
        <v>834</v>
      </c>
      <c r="C1084" s="39">
        <f>D1084+E1084</f>
        <v>670.12399</v>
      </c>
      <c r="D1084" s="1">
        <f t="shared" si="187"/>
        <v>0</v>
      </c>
      <c r="E1084" s="1">
        <f t="shared" si="188"/>
        <v>670.12399</v>
      </c>
      <c r="F1084" s="22"/>
      <c r="G1084" s="22"/>
      <c r="H1084" s="22"/>
      <c r="I1084" s="22"/>
      <c r="J1084" s="22"/>
      <c r="K1084" s="22"/>
      <c r="L1084" s="22"/>
      <c r="M1084" s="22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22"/>
      <c r="AA1084" s="22"/>
      <c r="AB1084" s="4"/>
      <c r="AC1084" s="4"/>
      <c r="AD1084" s="22"/>
      <c r="AE1084" s="22"/>
      <c r="AF1084" s="22"/>
      <c r="AG1084" s="22"/>
      <c r="AH1084" s="20"/>
      <c r="AI1084" s="4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4"/>
      <c r="BA1084" s="4"/>
      <c r="BB1084" s="4"/>
      <c r="BC1084" s="22"/>
      <c r="BD1084" s="22"/>
      <c r="BE1084" s="22">
        <v>670.12399</v>
      </c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4"/>
      <c r="BP1084" s="4"/>
      <c r="BQ1084" s="4"/>
      <c r="BR1084" s="4"/>
      <c r="BS1084" s="4"/>
      <c r="BT1084" s="22"/>
      <c r="BU1084" s="24"/>
    </row>
    <row r="1085" spans="1:73" ht="73.5" customHeight="1" outlineLevel="2">
      <c r="A1085" s="46" t="s">
        <v>210</v>
      </c>
      <c r="B1085" s="45" t="s">
        <v>501</v>
      </c>
      <c r="C1085" s="39">
        <f t="shared" si="189"/>
        <v>238.5</v>
      </c>
      <c r="D1085" s="1">
        <f t="shared" si="187"/>
        <v>0</v>
      </c>
      <c r="E1085" s="1">
        <f t="shared" si="188"/>
        <v>238.5</v>
      </c>
      <c r="F1085" s="22"/>
      <c r="G1085" s="22"/>
      <c r="H1085" s="22"/>
      <c r="I1085" s="22"/>
      <c r="J1085" s="22"/>
      <c r="K1085" s="22"/>
      <c r="L1085" s="22"/>
      <c r="M1085" s="22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22"/>
      <c r="AA1085" s="22"/>
      <c r="AB1085" s="4"/>
      <c r="AC1085" s="4"/>
      <c r="AD1085" s="22"/>
      <c r="AE1085" s="22"/>
      <c r="AF1085" s="22"/>
      <c r="AG1085" s="22"/>
      <c r="AH1085" s="20"/>
      <c r="AI1085" s="4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4"/>
      <c r="BA1085" s="4"/>
      <c r="BB1085" s="4"/>
      <c r="BC1085" s="22"/>
      <c r="BD1085" s="22"/>
      <c r="BE1085" s="22">
        <v>238.5</v>
      </c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4"/>
      <c r="BP1085" s="4"/>
      <c r="BQ1085" s="4"/>
      <c r="BR1085" s="4"/>
      <c r="BS1085" s="4"/>
      <c r="BT1085" s="22"/>
      <c r="BU1085" s="24"/>
    </row>
    <row r="1086" spans="1:73" ht="73.5" customHeight="1" outlineLevel="2">
      <c r="A1086" s="46" t="s">
        <v>210</v>
      </c>
      <c r="B1086" s="45" t="s">
        <v>570</v>
      </c>
      <c r="C1086" s="39">
        <f t="shared" si="189"/>
        <v>983.14031</v>
      </c>
      <c r="D1086" s="1">
        <f t="shared" si="187"/>
        <v>0</v>
      </c>
      <c r="E1086" s="1">
        <f t="shared" si="188"/>
        <v>983.14031</v>
      </c>
      <c r="F1086" s="22"/>
      <c r="G1086" s="22"/>
      <c r="H1086" s="22"/>
      <c r="I1086" s="22"/>
      <c r="J1086" s="22"/>
      <c r="K1086" s="22"/>
      <c r="L1086" s="22"/>
      <c r="M1086" s="22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22"/>
      <c r="AA1086" s="22"/>
      <c r="AB1086" s="4"/>
      <c r="AC1086" s="4"/>
      <c r="AD1086" s="22"/>
      <c r="AE1086" s="22"/>
      <c r="AF1086" s="22"/>
      <c r="AG1086" s="22"/>
      <c r="AH1086" s="20"/>
      <c r="AI1086" s="4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4"/>
      <c r="BA1086" s="4"/>
      <c r="BB1086" s="4"/>
      <c r="BC1086" s="22"/>
      <c r="BD1086" s="22"/>
      <c r="BE1086" s="22">
        <v>983.14031</v>
      </c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4"/>
      <c r="BP1086" s="4"/>
      <c r="BQ1086" s="4"/>
      <c r="BR1086" s="4"/>
      <c r="BS1086" s="4"/>
      <c r="BT1086" s="22"/>
      <c r="BU1086" s="24"/>
    </row>
    <row r="1087" spans="1:73" ht="73.5" customHeight="1" outlineLevel="2">
      <c r="A1087" s="46" t="s">
        <v>210</v>
      </c>
      <c r="B1087" s="45" t="s">
        <v>581</v>
      </c>
      <c r="C1087" s="39">
        <f t="shared" si="189"/>
        <v>88.43898</v>
      </c>
      <c r="D1087" s="1">
        <f t="shared" si="187"/>
        <v>0</v>
      </c>
      <c r="E1087" s="1">
        <f t="shared" si="188"/>
        <v>88.43898</v>
      </c>
      <c r="F1087" s="22"/>
      <c r="G1087" s="22"/>
      <c r="H1087" s="22"/>
      <c r="I1087" s="22"/>
      <c r="J1087" s="22"/>
      <c r="K1087" s="22"/>
      <c r="L1087" s="22"/>
      <c r="M1087" s="22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22"/>
      <c r="AA1087" s="22"/>
      <c r="AB1087" s="4"/>
      <c r="AC1087" s="4"/>
      <c r="AD1087" s="22"/>
      <c r="AE1087" s="22"/>
      <c r="AF1087" s="22"/>
      <c r="AG1087" s="22"/>
      <c r="AH1087" s="20"/>
      <c r="AI1087" s="4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4"/>
      <c r="BA1087" s="4"/>
      <c r="BB1087" s="4"/>
      <c r="BC1087" s="22"/>
      <c r="BD1087" s="22"/>
      <c r="BE1087" s="22">
        <v>88.43898</v>
      </c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4"/>
      <c r="BP1087" s="4"/>
      <c r="BQ1087" s="4"/>
      <c r="BR1087" s="4"/>
      <c r="BS1087" s="4"/>
      <c r="BT1087" s="22"/>
      <c r="BU1087" s="24"/>
    </row>
    <row r="1088" spans="1:73" ht="73.5" customHeight="1" outlineLevel="2">
      <c r="A1088" s="46" t="s">
        <v>210</v>
      </c>
      <c r="B1088" s="45" t="s">
        <v>589</v>
      </c>
      <c r="C1088" s="39">
        <f t="shared" si="189"/>
        <v>280.2966</v>
      </c>
      <c r="D1088" s="1">
        <f t="shared" si="187"/>
        <v>0</v>
      </c>
      <c r="E1088" s="1">
        <f t="shared" si="188"/>
        <v>280.2966</v>
      </c>
      <c r="F1088" s="22"/>
      <c r="G1088" s="22"/>
      <c r="H1088" s="22"/>
      <c r="I1088" s="22"/>
      <c r="J1088" s="22"/>
      <c r="K1088" s="22"/>
      <c r="L1088" s="22"/>
      <c r="M1088" s="22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22"/>
      <c r="AA1088" s="22"/>
      <c r="AB1088" s="4"/>
      <c r="AC1088" s="4"/>
      <c r="AD1088" s="22"/>
      <c r="AE1088" s="22"/>
      <c r="AF1088" s="22"/>
      <c r="AG1088" s="22"/>
      <c r="AH1088" s="20"/>
      <c r="AI1088" s="4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4"/>
      <c r="BA1088" s="4"/>
      <c r="BB1088" s="4"/>
      <c r="BC1088" s="22"/>
      <c r="BD1088" s="22"/>
      <c r="BE1088" s="22">
        <v>280.2966</v>
      </c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4"/>
      <c r="BP1088" s="4"/>
      <c r="BQ1088" s="4"/>
      <c r="BR1088" s="4"/>
      <c r="BS1088" s="4"/>
      <c r="BT1088" s="22"/>
      <c r="BU1088" s="24"/>
    </row>
    <row r="1089" spans="1:73" ht="73.5" customHeight="1" outlineLevel="2">
      <c r="A1089" s="46" t="s">
        <v>210</v>
      </c>
      <c r="B1089" s="38" t="s">
        <v>1122</v>
      </c>
      <c r="C1089" s="39">
        <f t="shared" si="189"/>
        <v>188.13559</v>
      </c>
      <c r="D1089" s="1">
        <f t="shared" si="187"/>
        <v>0</v>
      </c>
      <c r="E1089" s="1">
        <f t="shared" si="188"/>
        <v>188.13559</v>
      </c>
      <c r="F1089" s="22"/>
      <c r="G1089" s="22"/>
      <c r="H1089" s="22"/>
      <c r="I1089" s="22"/>
      <c r="J1089" s="22"/>
      <c r="K1089" s="22"/>
      <c r="L1089" s="22"/>
      <c r="M1089" s="22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22"/>
      <c r="AA1089" s="22"/>
      <c r="AB1089" s="4"/>
      <c r="AC1089" s="4"/>
      <c r="AD1089" s="22"/>
      <c r="AE1089" s="22"/>
      <c r="AF1089" s="22"/>
      <c r="AG1089" s="22"/>
      <c r="AH1089" s="20"/>
      <c r="AI1089" s="4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4"/>
      <c r="BA1089" s="4"/>
      <c r="BB1089" s="4"/>
      <c r="BC1089" s="22"/>
      <c r="BD1089" s="22"/>
      <c r="BE1089" s="22">
        <v>188.13559</v>
      </c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4"/>
      <c r="BP1089" s="4"/>
      <c r="BQ1089" s="4"/>
      <c r="BR1089" s="4"/>
      <c r="BS1089" s="4"/>
      <c r="BT1089" s="22"/>
      <c r="BU1089" s="24"/>
    </row>
    <row r="1090" spans="1:73" ht="73.5" customHeight="1" outlineLevel="2">
      <c r="A1090" s="46" t="s">
        <v>855</v>
      </c>
      <c r="B1090" s="45" t="s">
        <v>591</v>
      </c>
      <c r="C1090" s="39">
        <f t="shared" si="189"/>
        <v>678.47808</v>
      </c>
      <c r="D1090" s="1">
        <f t="shared" si="187"/>
        <v>245.65782</v>
      </c>
      <c r="E1090" s="1">
        <f t="shared" si="188"/>
        <v>432.82026</v>
      </c>
      <c r="F1090" s="22"/>
      <c r="G1090" s="22"/>
      <c r="H1090" s="22"/>
      <c r="I1090" s="22"/>
      <c r="J1090" s="22"/>
      <c r="K1090" s="22"/>
      <c r="L1090" s="22"/>
      <c r="M1090" s="22"/>
      <c r="N1090" s="4"/>
      <c r="O1090" s="4"/>
      <c r="P1090" s="4"/>
      <c r="Q1090" s="4"/>
      <c r="R1090" s="4"/>
      <c r="S1090" s="4"/>
      <c r="T1090" s="4"/>
      <c r="U1090" s="4"/>
      <c r="V1090" s="4">
        <v>245.65782</v>
      </c>
      <c r="W1090" s="4">
        <v>432.82026</v>
      </c>
      <c r="X1090" s="4"/>
      <c r="Y1090" s="4"/>
      <c r="Z1090" s="22"/>
      <c r="AA1090" s="22"/>
      <c r="AB1090" s="4"/>
      <c r="AC1090" s="4"/>
      <c r="AD1090" s="22"/>
      <c r="AE1090" s="22"/>
      <c r="AF1090" s="22"/>
      <c r="AG1090" s="22"/>
      <c r="AH1090" s="20"/>
      <c r="AI1090" s="4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4"/>
      <c r="BA1090" s="4"/>
      <c r="BB1090" s="4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4"/>
      <c r="BP1090" s="4"/>
      <c r="BQ1090" s="4"/>
      <c r="BR1090" s="4"/>
      <c r="BS1090" s="4"/>
      <c r="BT1090" s="22"/>
      <c r="BU1090" s="24"/>
    </row>
    <row r="1091" spans="1:73" ht="73.5" customHeight="1" outlineLevel="2">
      <c r="A1091" s="46" t="s">
        <v>210</v>
      </c>
      <c r="B1091" s="45" t="s">
        <v>789</v>
      </c>
      <c r="C1091" s="39">
        <f t="shared" si="189"/>
        <v>6237.34634</v>
      </c>
      <c r="D1091" s="1">
        <f t="shared" si="187"/>
        <v>0</v>
      </c>
      <c r="E1091" s="1">
        <f t="shared" si="188"/>
        <v>6237.34634</v>
      </c>
      <c r="F1091" s="22"/>
      <c r="G1091" s="22"/>
      <c r="H1091" s="22"/>
      <c r="I1091" s="22"/>
      <c r="J1091" s="22"/>
      <c r="K1091" s="22"/>
      <c r="L1091" s="22"/>
      <c r="M1091" s="22"/>
      <c r="N1091" s="4"/>
      <c r="O1091" s="4"/>
      <c r="P1091" s="4"/>
      <c r="Q1091" s="4">
        <v>1627.92352</v>
      </c>
      <c r="R1091" s="4"/>
      <c r="S1091" s="4"/>
      <c r="T1091" s="4"/>
      <c r="U1091" s="4"/>
      <c r="V1091" s="4"/>
      <c r="W1091" s="4"/>
      <c r="X1091" s="4"/>
      <c r="Y1091" s="4"/>
      <c r="Z1091" s="22"/>
      <c r="AA1091" s="22"/>
      <c r="AB1091" s="4"/>
      <c r="AC1091" s="4"/>
      <c r="AD1091" s="22"/>
      <c r="AE1091" s="22"/>
      <c r="AF1091" s="22"/>
      <c r="AG1091" s="22"/>
      <c r="AH1091" s="20"/>
      <c r="AI1091" s="4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4"/>
      <c r="BA1091" s="4"/>
      <c r="BB1091" s="4"/>
      <c r="BC1091" s="22"/>
      <c r="BD1091" s="22"/>
      <c r="BE1091" s="22">
        <v>4609.42282</v>
      </c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4"/>
      <c r="BP1091" s="4"/>
      <c r="BQ1091" s="4"/>
      <c r="BR1091" s="4"/>
      <c r="BS1091" s="4"/>
      <c r="BT1091" s="22"/>
      <c r="BU1091" s="24"/>
    </row>
    <row r="1092" spans="1:73" ht="73.5" customHeight="1" outlineLevel="2">
      <c r="A1092" s="46" t="s">
        <v>210</v>
      </c>
      <c r="B1092" s="45" t="s">
        <v>774</v>
      </c>
      <c r="C1092" s="39">
        <f>D1092+E1092</f>
        <v>27817.99807</v>
      </c>
      <c r="D1092" s="1">
        <f t="shared" si="187"/>
        <v>0</v>
      </c>
      <c r="E1092" s="1">
        <f t="shared" si="188"/>
        <v>27817.99807</v>
      </c>
      <c r="F1092" s="22"/>
      <c r="G1092" s="22"/>
      <c r="H1092" s="22"/>
      <c r="I1092" s="22"/>
      <c r="J1092" s="22"/>
      <c r="K1092" s="22"/>
      <c r="L1092" s="22">
        <v>27817.99807</v>
      </c>
      <c r="M1092" s="22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22"/>
      <c r="AA1092" s="22"/>
      <c r="AB1092" s="4"/>
      <c r="AC1092" s="4"/>
      <c r="AD1092" s="22"/>
      <c r="AE1092" s="22"/>
      <c r="AF1092" s="22"/>
      <c r="AG1092" s="22"/>
      <c r="AH1092" s="20"/>
      <c r="AI1092" s="4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4"/>
      <c r="BA1092" s="4"/>
      <c r="BB1092" s="4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4"/>
      <c r="BP1092" s="4"/>
      <c r="BQ1092" s="4"/>
      <c r="BR1092" s="4"/>
      <c r="BS1092" s="4"/>
      <c r="BT1092" s="22"/>
      <c r="BU1092" s="24"/>
    </row>
    <row r="1093" spans="1:73" ht="73.5" customHeight="1" outlineLevel="2" thickBot="1">
      <c r="A1093" s="63" t="s">
        <v>210</v>
      </c>
      <c r="B1093" s="73" t="s">
        <v>588</v>
      </c>
      <c r="C1093" s="58">
        <f t="shared" si="189"/>
        <v>208.2</v>
      </c>
      <c r="D1093" s="93">
        <f t="shared" si="187"/>
        <v>0</v>
      </c>
      <c r="E1093" s="93">
        <f t="shared" si="188"/>
        <v>208.2</v>
      </c>
      <c r="F1093" s="60"/>
      <c r="G1093" s="60"/>
      <c r="H1093" s="60"/>
      <c r="I1093" s="60"/>
      <c r="J1093" s="60"/>
      <c r="K1093" s="60"/>
      <c r="L1093" s="60"/>
      <c r="M1093" s="60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0"/>
      <c r="AA1093" s="60"/>
      <c r="AB1093" s="61"/>
      <c r="AC1093" s="61"/>
      <c r="AD1093" s="60"/>
      <c r="AE1093" s="60"/>
      <c r="AF1093" s="60"/>
      <c r="AG1093" s="60"/>
      <c r="AH1093" s="62"/>
      <c r="AI1093" s="61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1"/>
      <c r="BA1093" s="61"/>
      <c r="BB1093" s="61"/>
      <c r="BC1093" s="60"/>
      <c r="BD1093" s="60"/>
      <c r="BE1093" s="60">
        <v>208.2</v>
      </c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1"/>
      <c r="BP1093" s="61"/>
      <c r="BQ1093" s="61"/>
      <c r="BR1093" s="61"/>
      <c r="BS1093" s="61"/>
      <c r="BT1093" s="60"/>
      <c r="BU1093" s="24"/>
    </row>
    <row r="1094" spans="1:74" s="35" customFormat="1" ht="54" customHeight="1" outlineLevel="1" thickBot="1">
      <c r="A1094" s="29" t="s">
        <v>451</v>
      </c>
      <c r="B1094" s="48"/>
      <c r="C1094" s="49">
        <f>SUBTOTAL(9,C1080:C1093)</f>
        <v>46920.8332</v>
      </c>
      <c r="D1094" s="49">
        <f>SUBTOTAL(9,D1080:D1093)</f>
        <v>1338.7332299999998</v>
      </c>
      <c r="E1094" s="49">
        <f>SUBTOTAL(9,E1080:E1093)</f>
        <v>45582.099969999996</v>
      </c>
      <c r="F1094" s="49">
        <f>SUBTOTAL(9,F1080:F1093)</f>
        <v>0</v>
      </c>
      <c r="G1094" s="49">
        <f>SUBTOTAL(9,G1080:G1093)</f>
        <v>0</v>
      </c>
      <c r="H1094" s="49"/>
      <c r="I1094" s="49">
        <f aca="true" t="shared" si="190" ref="I1094:BQ1094">SUBTOTAL(9,I1080:I1093)</f>
        <v>0</v>
      </c>
      <c r="J1094" s="49">
        <f t="shared" si="190"/>
        <v>0</v>
      </c>
      <c r="K1094" s="49">
        <f t="shared" si="190"/>
        <v>0</v>
      </c>
      <c r="L1094" s="49">
        <f t="shared" si="190"/>
        <v>27817.99807</v>
      </c>
      <c r="M1094" s="49">
        <f t="shared" si="190"/>
        <v>0</v>
      </c>
      <c r="N1094" s="49">
        <f t="shared" si="190"/>
        <v>0</v>
      </c>
      <c r="O1094" s="49">
        <f t="shared" si="190"/>
        <v>0</v>
      </c>
      <c r="P1094" s="49">
        <f t="shared" si="190"/>
        <v>0</v>
      </c>
      <c r="Q1094" s="49">
        <f t="shared" si="190"/>
        <v>1627.92352</v>
      </c>
      <c r="R1094" s="49">
        <f t="shared" si="190"/>
        <v>0</v>
      </c>
      <c r="S1094" s="49">
        <f t="shared" si="190"/>
        <v>0</v>
      </c>
      <c r="T1094" s="49">
        <f t="shared" si="190"/>
        <v>0</v>
      </c>
      <c r="U1094" s="49">
        <f t="shared" si="190"/>
        <v>0</v>
      </c>
      <c r="V1094" s="49">
        <f t="shared" si="190"/>
        <v>1338.7332299999998</v>
      </c>
      <c r="W1094" s="49">
        <f t="shared" si="190"/>
        <v>1251.6654</v>
      </c>
      <c r="X1094" s="49">
        <f t="shared" si="190"/>
        <v>0</v>
      </c>
      <c r="Y1094" s="49">
        <f t="shared" si="190"/>
        <v>0</v>
      </c>
      <c r="Z1094" s="49">
        <f t="shared" si="190"/>
        <v>0</v>
      </c>
      <c r="AA1094" s="49">
        <f t="shared" si="190"/>
        <v>0</v>
      </c>
      <c r="AB1094" s="49">
        <f t="shared" si="190"/>
        <v>0</v>
      </c>
      <c r="AC1094" s="49">
        <f t="shared" si="190"/>
        <v>0</v>
      </c>
      <c r="AD1094" s="49">
        <f t="shared" si="190"/>
        <v>0</v>
      </c>
      <c r="AE1094" s="49">
        <f t="shared" si="190"/>
        <v>0</v>
      </c>
      <c r="AF1094" s="49">
        <f t="shared" si="190"/>
        <v>0</v>
      </c>
      <c r="AG1094" s="49">
        <f t="shared" si="190"/>
        <v>0</v>
      </c>
      <c r="AH1094" s="49">
        <f t="shared" si="190"/>
        <v>0</v>
      </c>
      <c r="AI1094" s="49">
        <f t="shared" si="190"/>
        <v>0</v>
      </c>
      <c r="AJ1094" s="49">
        <f t="shared" si="190"/>
        <v>0</v>
      </c>
      <c r="AK1094" s="49">
        <f t="shared" si="190"/>
        <v>0</v>
      </c>
      <c r="AL1094" s="49">
        <f t="shared" si="190"/>
        <v>0</v>
      </c>
      <c r="AM1094" s="49">
        <f t="shared" si="190"/>
        <v>0</v>
      </c>
      <c r="AN1094" s="49">
        <f t="shared" si="190"/>
        <v>0</v>
      </c>
      <c r="AO1094" s="49">
        <f t="shared" si="190"/>
        <v>0</v>
      </c>
      <c r="AP1094" s="49">
        <f t="shared" si="190"/>
        <v>0</v>
      </c>
      <c r="AQ1094" s="49">
        <f t="shared" si="190"/>
        <v>0</v>
      </c>
      <c r="AR1094" s="49">
        <f t="shared" si="190"/>
        <v>0</v>
      </c>
      <c r="AS1094" s="49">
        <f t="shared" si="190"/>
        <v>0</v>
      </c>
      <c r="AT1094" s="49">
        <f t="shared" si="190"/>
        <v>0</v>
      </c>
      <c r="AU1094" s="49">
        <f t="shared" si="190"/>
        <v>0</v>
      </c>
      <c r="AV1094" s="49">
        <f t="shared" si="190"/>
        <v>0</v>
      </c>
      <c r="AW1094" s="49">
        <f t="shared" si="190"/>
        <v>0</v>
      </c>
      <c r="AX1094" s="49">
        <f t="shared" si="190"/>
        <v>0</v>
      </c>
      <c r="AY1094" s="49">
        <f t="shared" si="190"/>
        <v>0</v>
      </c>
      <c r="AZ1094" s="49">
        <f t="shared" si="190"/>
        <v>0</v>
      </c>
      <c r="BA1094" s="49">
        <f t="shared" si="190"/>
        <v>0</v>
      </c>
      <c r="BB1094" s="49">
        <f t="shared" si="190"/>
        <v>0</v>
      </c>
      <c r="BC1094" s="49">
        <f t="shared" si="190"/>
        <v>0</v>
      </c>
      <c r="BD1094" s="49">
        <f t="shared" si="190"/>
        <v>1113.12895</v>
      </c>
      <c r="BE1094" s="49">
        <f t="shared" si="190"/>
        <v>13771.384030000001</v>
      </c>
      <c r="BF1094" s="49">
        <f t="shared" si="190"/>
        <v>0</v>
      </c>
      <c r="BG1094" s="49">
        <f t="shared" si="190"/>
        <v>0</v>
      </c>
      <c r="BH1094" s="49">
        <f t="shared" si="190"/>
        <v>0</v>
      </c>
      <c r="BI1094" s="49">
        <f t="shared" si="190"/>
        <v>0</v>
      </c>
      <c r="BJ1094" s="49">
        <f t="shared" si="190"/>
        <v>0</v>
      </c>
      <c r="BK1094" s="49">
        <f t="shared" si="190"/>
        <v>0</v>
      </c>
      <c r="BL1094" s="49">
        <f t="shared" si="190"/>
        <v>0</v>
      </c>
      <c r="BM1094" s="49">
        <f t="shared" si="190"/>
        <v>0</v>
      </c>
      <c r="BN1094" s="49">
        <f t="shared" si="190"/>
        <v>0</v>
      </c>
      <c r="BO1094" s="49">
        <f t="shared" si="190"/>
        <v>0</v>
      </c>
      <c r="BP1094" s="49">
        <f t="shared" si="190"/>
        <v>0</v>
      </c>
      <c r="BQ1094" s="49">
        <f t="shared" si="190"/>
        <v>0</v>
      </c>
      <c r="BR1094" s="49">
        <f>SUBTOTAL(9,BR1080:BR1093)</f>
        <v>0</v>
      </c>
      <c r="BS1094" s="49">
        <f>SUBTOTAL(9,BS1080:BS1093)</f>
        <v>0</v>
      </c>
      <c r="BT1094" s="94">
        <f>SUBTOTAL(9,BT1080:BT1093)</f>
        <v>0</v>
      </c>
      <c r="BU1094" s="50"/>
      <c r="BV1094" s="34"/>
    </row>
    <row r="1095" spans="1:74" s="35" customFormat="1" ht="52.5" customHeight="1" thickBot="1">
      <c r="A1095" s="78" t="s">
        <v>6</v>
      </c>
      <c r="B1095" s="79"/>
      <c r="C1095" s="80">
        <f aca="true" t="shared" si="191" ref="C1095:BN1095">SUBTOTAL(9,C8:C1094)</f>
        <v>4751937.426509997</v>
      </c>
      <c r="D1095" s="80">
        <f t="shared" si="191"/>
        <v>1768601.4653599996</v>
      </c>
      <c r="E1095" s="80">
        <f t="shared" si="191"/>
        <v>2983335.961150001</v>
      </c>
      <c r="F1095" s="80">
        <f t="shared" si="191"/>
        <v>307651.4</v>
      </c>
      <c r="G1095" s="80">
        <f t="shared" si="191"/>
        <v>344195.80658000003</v>
      </c>
      <c r="H1095" s="80">
        <f t="shared" si="191"/>
        <v>21699.4</v>
      </c>
      <c r="I1095" s="80">
        <f t="shared" si="191"/>
        <v>12424.000000000002</v>
      </c>
      <c r="J1095" s="80">
        <f t="shared" si="191"/>
        <v>73064.40000000001</v>
      </c>
      <c r="K1095" s="80">
        <f t="shared" si="191"/>
        <v>30036.100000000013</v>
      </c>
      <c r="L1095" s="80">
        <f t="shared" si="191"/>
        <v>175484.59999999998</v>
      </c>
      <c r="M1095" s="80">
        <f t="shared" si="191"/>
        <v>309205.49999999994</v>
      </c>
      <c r="N1095" s="80">
        <f t="shared" si="191"/>
        <v>8622.730389999997</v>
      </c>
      <c r="O1095" s="80">
        <f t="shared" si="191"/>
        <v>429.29999999999995</v>
      </c>
      <c r="P1095" s="80">
        <f t="shared" si="191"/>
        <v>20000</v>
      </c>
      <c r="Q1095" s="80">
        <f t="shared" si="191"/>
        <v>4265</v>
      </c>
      <c r="R1095" s="80">
        <f t="shared" si="191"/>
        <v>65855.7</v>
      </c>
      <c r="S1095" s="80">
        <f t="shared" si="191"/>
        <v>47815.109999999986</v>
      </c>
      <c r="T1095" s="80">
        <f t="shared" si="191"/>
        <v>2885.2</v>
      </c>
      <c r="U1095" s="80">
        <f t="shared" si="191"/>
        <v>4389.87342</v>
      </c>
      <c r="V1095" s="80">
        <f t="shared" si="191"/>
        <v>6900</v>
      </c>
      <c r="W1095" s="80">
        <f t="shared" si="191"/>
        <v>14500</v>
      </c>
      <c r="X1095" s="80">
        <f t="shared" si="191"/>
        <v>17588.8527</v>
      </c>
      <c r="Y1095" s="80">
        <f t="shared" si="191"/>
        <v>15006.699999999999</v>
      </c>
      <c r="Z1095" s="80">
        <f t="shared" si="191"/>
        <v>30786.89999999998</v>
      </c>
      <c r="AA1095" s="80">
        <f t="shared" si="191"/>
        <v>44349.59699999999</v>
      </c>
      <c r="AB1095" s="80">
        <f t="shared" si="191"/>
        <v>228687.07997</v>
      </c>
      <c r="AC1095" s="80">
        <f t="shared" si="191"/>
        <v>86305.54543000007</v>
      </c>
      <c r="AD1095" s="80">
        <f t="shared" si="191"/>
        <v>3299.31589</v>
      </c>
      <c r="AE1095" s="80">
        <f t="shared" si="191"/>
        <v>503.84241999999995</v>
      </c>
      <c r="AF1095" s="80">
        <f t="shared" si="191"/>
        <v>1458</v>
      </c>
      <c r="AG1095" s="80">
        <f t="shared" si="191"/>
        <v>1001.6</v>
      </c>
      <c r="AH1095" s="80">
        <f t="shared" si="191"/>
        <v>151722.52574999994</v>
      </c>
      <c r="AI1095" s="80">
        <f t="shared" si="191"/>
        <v>71492.92800000001</v>
      </c>
      <c r="AJ1095" s="80">
        <f t="shared" si="191"/>
        <v>80229.59775000002</v>
      </c>
      <c r="AK1095" s="80">
        <f t="shared" si="191"/>
        <v>22550.981</v>
      </c>
      <c r="AL1095" s="80">
        <f t="shared" si="191"/>
        <v>38773.59999999999</v>
      </c>
      <c r="AM1095" s="80">
        <f t="shared" si="191"/>
        <v>79334.70000000001</v>
      </c>
      <c r="AN1095" s="80">
        <f t="shared" si="191"/>
        <v>33098.846639999996</v>
      </c>
      <c r="AO1095" s="80">
        <f t="shared" si="191"/>
        <v>5373.49948</v>
      </c>
      <c r="AP1095" s="80">
        <f t="shared" si="191"/>
        <v>4386.24</v>
      </c>
      <c r="AQ1095" s="80">
        <f t="shared" si="191"/>
        <v>5062.5</v>
      </c>
      <c r="AR1095" s="80">
        <f t="shared" si="191"/>
        <v>40989.21115</v>
      </c>
      <c r="AS1095" s="80">
        <f t="shared" si="191"/>
        <v>2157.32689</v>
      </c>
      <c r="AT1095" s="80">
        <f t="shared" si="191"/>
        <v>2524.2925600000003</v>
      </c>
      <c r="AU1095" s="80">
        <f t="shared" si="191"/>
        <v>5297.5</v>
      </c>
      <c r="AV1095" s="80">
        <f t="shared" si="191"/>
        <v>66.873</v>
      </c>
      <c r="AW1095" s="80">
        <f t="shared" si="191"/>
        <v>3652.1</v>
      </c>
      <c r="AX1095" s="80">
        <f t="shared" si="191"/>
        <v>37922.55999999999</v>
      </c>
      <c r="AY1095" s="80">
        <f t="shared" si="191"/>
        <v>287757.6000000001</v>
      </c>
      <c r="AZ1095" s="80">
        <f t="shared" si="191"/>
        <v>238000.00000000003</v>
      </c>
      <c r="BA1095" s="80">
        <f t="shared" si="191"/>
        <v>2610</v>
      </c>
      <c r="BB1095" s="80">
        <f t="shared" si="191"/>
        <v>787.5</v>
      </c>
      <c r="BC1095" s="80">
        <f t="shared" si="191"/>
        <v>67338.83</v>
      </c>
      <c r="BD1095" s="80">
        <f t="shared" si="191"/>
        <v>413074.30000000016</v>
      </c>
      <c r="BE1095" s="80">
        <f t="shared" si="191"/>
        <v>263906.6</v>
      </c>
      <c r="BF1095" s="80">
        <f t="shared" si="191"/>
        <v>442669.0832200002</v>
      </c>
      <c r="BG1095" s="80">
        <f t="shared" si="191"/>
        <v>275157.8378700001</v>
      </c>
      <c r="BH1095" s="80">
        <f t="shared" si="191"/>
        <v>1871.1000000000001</v>
      </c>
      <c r="BI1095" s="80">
        <f t="shared" si="191"/>
        <v>3988.943849999999</v>
      </c>
      <c r="BJ1095" s="80">
        <f t="shared" si="191"/>
        <v>32043.2</v>
      </c>
      <c r="BK1095" s="80">
        <f t="shared" si="191"/>
        <v>304.12059999999997</v>
      </c>
      <c r="BL1095" s="80">
        <f t="shared" si="191"/>
        <v>100.16555</v>
      </c>
      <c r="BM1095" s="80">
        <f t="shared" si="191"/>
        <v>70791.83515</v>
      </c>
      <c r="BN1095" s="80">
        <f t="shared" si="191"/>
        <v>6000</v>
      </c>
      <c r="BO1095" s="80">
        <f aca="true" t="shared" si="192" ref="BO1095:BT1095">SUBTOTAL(9,BO8:BO1094)</f>
        <v>46139</v>
      </c>
      <c r="BP1095" s="80">
        <f t="shared" si="192"/>
        <v>106898.816</v>
      </c>
      <c r="BQ1095" s="80">
        <f t="shared" si="192"/>
        <v>56181</v>
      </c>
      <c r="BR1095" s="80">
        <f t="shared" si="192"/>
        <v>33600</v>
      </c>
      <c r="BS1095" s="80">
        <f t="shared" si="192"/>
        <v>37263</v>
      </c>
      <c r="BT1095" s="102">
        <f t="shared" si="192"/>
        <v>54130.184</v>
      </c>
      <c r="BU1095" s="50"/>
      <c r="BV1095" s="34"/>
    </row>
    <row r="1096" spans="5:57" ht="91.5" customHeight="1">
      <c r="E1096" s="105"/>
      <c r="N1096" s="106"/>
      <c r="O1096" s="106"/>
      <c r="BE1096" s="107"/>
    </row>
    <row r="1097" spans="5:57" ht="91.5" customHeight="1">
      <c r="E1097" s="105"/>
      <c r="BE1097" s="107"/>
    </row>
    <row r="1098" spans="2:57" ht="91.5" customHeight="1">
      <c r="B1098" s="5"/>
      <c r="C1098" s="108"/>
      <c r="D1098" s="109"/>
      <c r="E1098" s="105"/>
      <c r="F1098" s="10"/>
      <c r="G1098" s="10"/>
      <c r="H1098" s="10"/>
      <c r="I1098" s="10"/>
      <c r="J1098" s="10"/>
      <c r="K1098" s="10"/>
      <c r="M1098" s="10"/>
      <c r="N1098" s="107"/>
      <c r="O1098" s="107"/>
      <c r="BE1098" s="107"/>
    </row>
    <row r="1099" spans="2:57" ht="91.5" customHeight="1">
      <c r="B1099" s="5"/>
      <c r="C1099" s="108"/>
      <c r="D1099" s="109"/>
      <c r="E1099" s="105"/>
      <c r="F1099" s="10"/>
      <c r="G1099" s="10"/>
      <c r="H1099" s="10"/>
      <c r="I1099" s="10"/>
      <c r="J1099" s="10"/>
      <c r="K1099" s="10"/>
      <c r="M1099" s="10"/>
      <c r="N1099" s="107"/>
      <c r="BE1099" s="107"/>
    </row>
    <row r="1100" spans="2:57" ht="91.5" customHeight="1">
      <c r="B1100" s="5"/>
      <c r="C1100" s="108"/>
      <c r="D1100" s="109"/>
      <c r="E1100" s="105"/>
      <c r="F1100" s="10"/>
      <c r="G1100" s="10"/>
      <c r="H1100" s="10"/>
      <c r="I1100" s="10"/>
      <c r="J1100" s="10"/>
      <c r="K1100" s="10"/>
      <c r="M1100" s="10"/>
      <c r="BE1100" s="107"/>
    </row>
    <row r="1101" spans="2:57" ht="91.5" customHeight="1">
      <c r="B1101" s="5"/>
      <c r="C1101" s="108"/>
      <c r="D1101" s="109"/>
      <c r="E1101" s="105"/>
      <c r="F1101" s="10"/>
      <c r="G1101" s="10"/>
      <c r="H1101" s="10"/>
      <c r="I1101" s="10"/>
      <c r="J1101" s="10"/>
      <c r="K1101" s="10"/>
      <c r="M1101" s="10"/>
      <c r="BE1101" s="107"/>
    </row>
    <row r="1102" spans="2:57" ht="91.5" customHeight="1">
      <c r="B1102" s="5"/>
      <c r="C1102" s="108"/>
      <c r="D1102" s="109"/>
      <c r="E1102" s="105"/>
      <c r="F1102" s="10"/>
      <c r="G1102" s="10"/>
      <c r="H1102" s="10"/>
      <c r="I1102" s="10"/>
      <c r="J1102" s="10"/>
      <c r="K1102" s="10"/>
      <c r="M1102" s="10"/>
      <c r="BE1102" s="107"/>
    </row>
    <row r="1103" spans="2:57" ht="91.5" customHeight="1">
      <c r="B1103" s="5"/>
      <c r="C1103" s="108"/>
      <c r="D1103" s="109"/>
      <c r="E1103" s="105"/>
      <c r="F1103" s="10"/>
      <c r="G1103" s="10"/>
      <c r="H1103" s="10"/>
      <c r="I1103" s="10"/>
      <c r="J1103" s="10"/>
      <c r="K1103" s="10"/>
      <c r="M1103" s="10"/>
      <c r="BE1103" s="107"/>
    </row>
    <row r="1104" spans="2:57" ht="91.5" customHeight="1">
      <c r="B1104" s="5"/>
      <c r="C1104" s="108"/>
      <c r="D1104" s="109"/>
      <c r="E1104" s="105"/>
      <c r="F1104" s="10"/>
      <c r="G1104" s="10"/>
      <c r="H1104" s="10"/>
      <c r="I1104" s="10"/>
      <c r="J1104" s="10"/>
      <c r="K1104" s="10"/>
      <c r="M1104" s="10"/>
      <c r="BE1104" s="107"/>
    </row>
    <row r="1105" spans="2:57" ht="91.5" customHeight="1">
      <c r="B1105" s="5"/>
      <c r="C1105" s="108"/>
      <c r="D1105" s="109"/>
      <c r="E1105" s="105"/>
      <c r="F1105" s="10"/>
      <c r="G1105" s="10"/>
      <c r="H1105" s="10"/>
      <c r="I1105" s="10"/>
      <c r="J1105" s="10"/>
      <c r="K1105" s="10"/>
      <c r="M1105" s="10"/>
      <c r="BE1105" s="107"/>
    </row>
    <row r="1106" spans="2:57" ht="91.5" customHeight="1">
      <c r="B1106" s="5"/>
      <c r="C1106" s="108"/>
      <c r="D1106" s="109"/>
      <c r="E1106" s="105"/>
      <c r="F1106" s="10"/>
      <c r="G1106" s="10"/>
      <c r="H1106" s="10"/>
      <c r="I1106" s="10"/>
      <c r="J1106" s="10"/>
      <c r="K1106" s="10"/>
      <c r="M1106" s="10"/>
      <c r="BE1106" s="107"/>
    </row>
    <row r="1107" spans="2:57" ht="91.5" customHeight="1">
      <c r="B1107" s="5"/>
      <c r="C1107" s="108"/>
      <c r="D1107" s="109"/>
      <c r="E1107" s="105"/>
      <c r="F1107" s="10"/>
      <c r="G1107" s="10"/>
      <c r="H1107" s="10"/>
      <c r="I1107" s="10"/>
      <c r="J1107" s="10"/>
      <c r="K1107" s="10"/>
      <c r="M1107" s="10"/>
      <c r="BE1107" s="107"/>
    </row>
    <row r="1108" spans="2:57" ht="91.5" customHeight="1">
      <c r="B1108" s="5"/>
      <c r="C1108" s="108"/>
      <c r="D1108" s="109"/>
      <c r="E1108" s="105"/>
      <c r="F1108" s="10"/>
      <c r="G1108" s="10"/>
      <c r="H1108" s="10"/>
      <c r="I1108" s="10"/>
      <c r="J1108" s="10"/>
      <c r="K1108" s="10"/>
      <c r="M1108" s="10"/>
      <c r="BE1108" s="107"/>
    </row>
    <row r="1109" spans="2:57" ht="91.5" customHeight="1">
      <c r="B1109" s="5"/>
      <c r="C1109" s="108"/>
      <c r="D1109" s="109"/>
      <c r="E1109" s="105"/>
      <c r="F1109" s="10"/>
      <c r="G1109" s="10"/>
      <c r="H1109" s="10"/>
      <c r="I1109" s="10"/>
      <c r="J1109" s="10"/>
      <c r="K1109" s="10"/>
      <c r="M1109" s="10"/>
      <c r="BE1109" s="107"/>
    </row>
    <row r="1110" spans="2:57" ht="91.5" customHeight="1">
      <c r="B1110" s="5"/>
      <c r="C1110" s="108"/>
      <c r="D1110" s="109"/>
      <c r="E1110" s="105"/>
      <c r="F1110" s="10"/>
      <c r="G1110" s="10"/>
      <c r="H1110" s="10"/>
      <c r="I1110" s="10"/>
      <c r="J1110" s="10"/>
      <c r="K1110" s="110"/>
      <c r="M1110" s="10"/>
      <c r="BE1110" s="107"/>
    </row>
    <row r="1111" spans="2:57" ht="91.5" customHeight="1">
      <c r="B1111" s="5"/>
      <c r="C1111" s="108"/>
      <c r="D1111" s="109"/>
      <c r="E1111" s="105"/>
      <c r="F1111" s="10"/>
      <c r="G1111" s="10"/>
      <c r="H1111" s="10"/>
      <c r="I1111" s="10"/>
      <c r="J1111" s="10"/>
      <c r="K1111" s="10"/>
      <c r="M1111" s="10"/>
      <c r="BE1111" s="107"/>
    </row>
    <row r="1112" spans="2:57" ht="91.5" customHeight="1">
      <c r="B1112" s="5"/>
      <c r="C1112" s="108"/>
      <c r="D1112" s="109"/>
      <c r="E1112" s="105"/>
      <c r="F1112" s="10"/>
      <c r="G1112" s="10"/>
      <c r="H1112" s="10"/>
      <c r="I1112" s="10"/>
      <c r="J1112" s="10"/>
      <c r="K1112" s="10"/>
      <c r="M1112" s="10"/>
      <c r="BE1112" s="107"/>
    </row>
    <row r="1113" spans="2:57" ht="91.5" customHeight="1">
      <c r="B1113" s="5"/>
      <c r="C1113" s="108"/>
      <c r="D1113" s="109"/>
      <c r="E1113" s="105"/>
      <c r="F1113" s="10"/>
      <c r="G1113" s="10"/>
      <c r="H1113" s="10"/>
      <c r="I1113" s="10"/>
      <c r="J1113" s="10"/>
      <c r="K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7"/>
    </row>
    <row r="1114" spans="2:57" ht="91.5" customHeight="1">
      <c r="B1114" s="5"/>
      <c r="C1114" s="108"/>
      <c r="D1114" s="109"/>
      <c r="E1114" s="105"/>
      <c r="F1114" s="10"/>
      <c r="G1114" s="10"/>
      <c r="H1114" s="10"/>
      <c r="I1114" s="10"/>
      <c r="J1114" s="10"/>
      <c r="K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7"/>
    </row>
    <row r="1115" spans="2:57" ht="91.5" customHeight="1">
      <c r="B1115" s="5"/>
      <c r="C1115" s="108"/>
      <c r="D1115" s="109"/>
      <c r="E1115" s="105"/>
      <c r="F1115" s="10"/>
      <c r="G1115" s="10"/>
      <c r="H1115" s="10"/>
      <c r="I1115" s="10"/>
      <c r="J1115" s="10"/>
      <c r="K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7"/>
    </row>
    <row r="1116" spans="2:57" ht="91.5" customHeight="1">
      <c r="B1116" s="5"/>
      <c r="C1116" s="108"/>
      <c r="D1116" s="109"/>
      <c r="E1116" s="105"/>
      <c r="F1116" s="10"/>
      <c r="G1116" s="10"/>
      <c r="H1116" s="10"/>
      <c r="I1116" s="10"/>
      <c r="J1116" s="10"/>
      <c r="K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7"/>
    </row>
    <row r="1117" spans="2:57" ht="91.5" customHeight="1">
      <c r="B1117" s="5"/>
      <c r="C1117" s="108"/>
      <c r="D1117" s="109"/>
      <c r="E1117" s="105"/>
      <c r="F1117" s="10"/>
      <c r="G1117" s="10"/>
      <c r="H1117" s="10"/>
      <c r="I1117" s="10"/>
      <c r="J1117" s="10"/>
      <c r="K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7"/>
    </row>
    <row r="1118" spans="2:57" ht="91.5" customHeight="1">
      <c r="B1118" s="5"/>
      <c r="C1118" s="108"/>
      <c r="D1118" s="109"/>
      <c r="E1118" s="105"/>
      <c r="F1118" s="10"/>
      <c r="G1118" s="10"/>
      <c r="H1118" s="10"/>
      <c r="I1118" s="10"/>
      <c r="J1118" s="10"/>
      <c r="K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7"/>
    </row>
    <row r="1119" spans="2:57" ht="91.5" customHeight="1">
      <c r="B1119" s="5"/>
      <c r="C1119" s="108"/>
      <c r="D1119" s="109"/>
      <c r="E1119" s="105"/>
      <c r="F1119" s="10"/>
      <c r="G1119" s="10"/>
      <c r="H1119" s="10"/>
      <c r="I1119" s="10"/>
      <c r="J1119" s="10"/>
      <c r="K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7"/>
    </row>
    <row r="1120" spans="2:57" ht="91.5" customHeight="1">
      <c r="B1120" s="5"/>
      <c r="C1120" s="108"/>
      <c r="D1120" s="109"/>
      <c r="E1120" s="105"/>
      <c r="F1120" s="10"/>
      <c r="G1120" s="10"/>
      <c r="H1120" s="10"/>
      <c r="I1120" s="10"/>
      <c r="J1120" s="10"/>
      <c r="K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7"/>
    </row>
    <row r="1121" spans="2:57" ht="91.5" customHeight="1">
      <c r="B1121" s="5"/>
      <c r="C1121" s="108"/>
      <c r="D1121" s="109"/>
      <c r="E1121" s="105"/>
      <c r="F1121" s="10"/>
      <c r="G1121" s="10"/>
      <c r="H1121" s="10"/>
      <c r="I1121" s="10"/>
      <c r="J1121" s="10"/>
      <c r="K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7"/>
    </row>
    <row r="1122" spans="2:57" ht="91.5" customHeight="1">
      <c r="B1122" s="5"/>
      <c r="C1122" s="108"/>
      <c r="D1122" s="109"/>
      <c r="E1122" s="105"/>
      <c r="F1122" s="10"/>
      <c r="G1122" s="10"/>
      <c r="H1122" s="10"/>
      <c r="I1122" s="10"/>
      <c r="J1122" s="10"/>
      <c r="K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7"/>
    </row>
    <row r="1123" spans="2:57" ht="91.5" customHeight="1">
      <c r="B1123" s="5"/>
      <c r="C1123" s="108"/>
      <c r="D1123" s="109"/>
      <c r="E1123" s="105"/>
      <c r="F1123" s="10"/>
      <c r="G1123" s="10"/>
      <c r="H1123" s="10"/>
      <c r="I1123" s="10"/>
      <c r="J1123" s="10"/>
      <c r="K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7"/>
    </row>
    <row r="1124" ht="91.5" customHeight="1">
      <c r="E1124" s="105"/>
    </row>
    <row r="1125" ht="91.5" customHeight="1">
      <c r="E1125" s="105"/>
    </row>
  </sheetData>
  <sheetProtection/>
  <autoFilter ref="A7:BT1094"/>
  <mergeCells count="54">
    <mergeCell ref="C1:Q1"/>
    <mergeCell ref="BG1:BI1"/>
    <mergeCell ref="C2:E2"/>
    <mergeCell ref="A3:A6"/>
    <mergeCell ref="B3:B6"/>
    <mergeCell ref="C3:E4"/>
    <mergeCell ref="F3:G5"/>
    <mergeCell ref="H3:I5"/>
    <mergeCell ref="J3:K5"/>
    <mergeCell ref="L3:L5"/>
    <mergeCell ref="M3:M5"/>
    <mergeCell ref="N3:O5"/>
    <mergeCell ref="P3:P5"/>
    <mergeCell ref="Q3:Q5"/>
    <mergeCell ref="R3:S5"/>
    <mergeCell ref="T3:U5"/>
    <mergeCell ref="V3:W5"/>
    <mergeCell ref="X3:Y5"/>
    <mergeCell ref="Z3:AA5"/>
    <mergeCell ref="AB3:AC5"/>
    <mergeCell ref="AD3:AE5"/>
    <mergeCell ref="AF3:AG5"/>
    <mergeCell ref="AH3:AJ3"/>
    <mergeCell ref="AK3:AK5"/>
    <mergeCell ref="AL3:AL5"/>
    <mergeCell ref="AM3:AN5"/>
    <mergeCell ref="AO3:AP5"/>
    <mergeCell ref="BD3:BD5"/>
    <mergeCell ref="BE3:BE5"/>
    <mergeCell ref="AQ3:AQ5"/>
    <mergeCell ref="AR3:AS5"/>
    <mergeCell ref="AT3:AU5"/>
    <mergeCell ref="AV3:AV5"/>
    <mergeCell ref="AW3:AW5"/>
    <mergeCell ref="AX3:AX5"/>
    <mergeCell ref="BS3:BT5"/>
    <mergeCell ref="BU3:BU5"/>
    <mergeCell ref="AH4:AH5"/>
    <mergeCell ref="AI4:AJ4"/>
    <mergeCell ref="BF3:BG5"/>
    <mergeCell ref="BH3:BI5"/>
    <mergeCell ref="BJ3:BJ5"/>
    <mergeCell ref="BK3:BK5"/>
    <mergeCell ref="BL3:BL5"/>
    <mergeCell ref="BM3:BM5"/>
    <mergeCell ref="C5:C6"/>
    <mergeCell ref="D5:E5"/>
    <mergeCell ref="BN3:BN5"/>
    <mergeCell ref="BO3:BP5"/>
    <mergeCell ref="BQ3:BR5"/>
    <mergeCell ref="AY3:AZ5"/>
    <mergeCell ref="BA3:BA5"/>
    <mergeCell ref="BB3:BB5"/>
    <mergeCell ref="BC3:BC5"/>
  </mergeCells>
  <printOptions/>
  <pageMargins left="0.03937007874015748" right="0.03937007874015748" top="0.4330708661417323" bottom="0.2362204724409449" header="0.31496062992125984" footer="0.31496062992125984"/>
  <pageSetup horizontalDpi="600" verticalDpi="600" orientation="landscape" paperSize="9" scale="30" r:id="rId2"/>
  <headerFooter>
    <oddHeader>&amp;C&amp;P</oddHeader>
  </headerFooter>
  <colBreaks count="2" manualBreakCount="2">
    <brk id="17" max="65535" man="1"/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Яна В. Ганжа</cp:lastModifiedBy>
  <cp:lastPrinted>2017-03-27T02:42:59Z</cp:lastPrinted>
  <dcterms:created xsi:type="dcterms:W3CDTF">2009-08-31T08:50:44Z</dcterms:created>
  <dcterms:modified xsi:type="dcterms:W3CDTF">2022-03-09T09:19:09Z</dcterms:modified>
  <cp:category/>
  <cp:version/>
  <cp:contentType/>
  <cp:contentStatus/>
</cp:coreProperties>
</file>